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450" activeTab="0"/>
  </bookViews>
  <sheets>
    <sheet name="集水桝配置間隔計算" sheetId="1" r:id="rId1"/>
  </sheets>
  <definedNames>
    <definedName name="_xlnm.Print_Area" localSheetId="0">'集水桝配置間隔計算'!$A$1:$Y$62</definedName>
  </definedNames>
  <calcPr fullCalcOnLoad="1"/>
</workbook>
</file>

<file path=xl/sharedStrings.xml><?xml version="1.0" encoding="utf-8"?>
<sst xmlns="http://schemas.openxmlformats.org/spreadsheetml/2006/main" count="355" uniqueCount="287">
  <si>
    <t>I=a/(t+b)</t>
  </si>
  <si>
    <t>I=</t>
  </si>
  <si>
    <t>流出係数</t>
  </si>
  <si>
    <t>mm/h</t>
  </si>
  <si>
    <t>m</t>
  </si>
  <si>
    <t>縦断勾配</t>
  </si>
  <si>
    <t>%</t>
  </si>
  <si>
    <t>横断勾配</t>
  </si>
  <si>
    <t>水量割合</t>
  </si>
  <si>
    <t>道路幅</t>
  </si>
  <si>
    <t>粗度係数</t>
  </si>
  <si>
    <t>呑口の長さ</t>
  </si>
  <si>
    <t>道路単位長さ当たりの流出量</t>
  </si>
  <si>
    <t>側溝流量</t>
  </si>
  <si>
    <t>側溝部</t>
  </si>
  <si>
    <t>基本部</t>
  </si>
  <si>
    <t>断面積 A=</t>
  </si>
  <si>
    <t>潤辺   P=</t>
  </si>
  <si>
    <t>1/2×</t>
  </si>
  <si>
    <t>=</t>
  </si>
  <si>
    <t>径深   R=</t>
  </si>
  <si>
    <t>A/P</t>
  </si>
  <si>
    <t>分</t>
  </si>
  <si>
    <t>% 通常80%使用</t>
  </si>
  <si>
    <t>道路</t>
  </si>
  <si>
    <r>
      <t>cm</t>
    </r>
    <r>
      <rPr>
        <vertAlign val="superscript"/>
        <sz val="11"/>
        <rFont val="ＭＳ Ｐ明朝"/>
        <family val="1"/>
      </rPr>
      <t>3</t>
    </r>
  </si>
  <si>
    <t>A=100～300</t>
  </si>
  <si>
    <t>流出係数 C</t>
  </si>
  <si>
    <t>0.75～0.85</t>
  </si>
  <si>
    <t>アスファルト</t>
  </si>
  <si>
    <t>コンクリート</t>
  </si>
  <si>
    <t>レンガ</t>
  </si>
  <si>
    <t>歩道・駐車場</t>
  </si>
  <si>
    <t>0.70～0.95</t>
  </si>
  <si>
    <t>0.80～0.95</t>
  </si>
  <si>
    <t>0.70～0.85</t>
  </si>
  <si>
    <t>粗度係数　ｎ</t>
  </si>
  <si>
    <t>/</t>
  </si>
  <si>
    <t xml:space="preserve">a2=平均 </t>
  </si>
  <si>
    <t>b2=平均</t>
  </si>
  <si>
    <t>A</t>
  </si>
  <si>
    <t>μ=</t>
  </si>
  <si>
    <t>落下流量</t>
  </si>
  <si>
    <t>縦仕切</t>
  </si>
  <si>
    <t>集水幅</t>
  </si>
  <si>
    <t>L=</t>
  </si>
  <si>
    <t>Q1</t>
  </si>
  <si>
    <t>Q2=</t>
  </si>
  <si>
    <t>rr</t>
  </si>
  <si>
    <t>地表面の工種別基礎流出係数（道路土工排水工指針より）</t>
  </si>
  <si>
    <t>地表面の種類　</t>
  </si>
  <si>
    <t>流出係数</t>
  </si>
  <si>
    <t>路面　</t>
  </si>
  <si>
    <t>舗装</t>
  </si>
  <si>
    <t>砂利道</t>
  </si>
  <si>
    <t>0.30～0.70</t>
  </si>
  <si>
    <t>　路肩・法面など</t>
  </si>
  <si>
    <t>細粒度</t>
  </si>
  <si>
    <t>0.40～0.65</t>
  </si>
  <si>
    <t>粗粒度</t>
  </si>
  <si>
    <t>0.10～0.30</t>
  </si>
  <si>
    <t>硬岩</t>
  </si>
  <si>
    <t>軟岩</t>
  </si>
  <si>
    <t>0.50～0.75</t>
  </si>
  <si>
    <t>　砂質土の芝生</t>
  </si>
  <si>
    <t>勾配0～2%</t>
  </si>
  <si>
    <t>0.05～0.10</t>
  </si>
  <si>
    <t>勾配2～7%</t>
  </si>
  <si>
    <t>0.10～0.15</t>
  </si>
  <si>
    <t>勾配7%以上</t>
  </si>
  <si>
    <t>0.15～0.20</t>
  </si>
  <si>
    <t>　粘性土の芝生</t>
  </si>
  <si>
    <t>0.13～0.17</t>
  </si>
  <si>
    <t>0.18～0.22</t>
  </si>
  <si>
    <t>0.25～0.35</t>
  </si>
  <si>
    <t>屋根</t>
  </si>
  <si>
    <t>0.75～0.95</t>
  </si>
  <si>
    <t>間地</t>
  </si>
  <si>
    <t>0.20～0.40</t>
  </si>
  <si>
    <t>芝・樹木の多い公園</t>
  </si>
  <si>
    <t>0.10～0.25</t>
  </si>
  <si>
    <t>勾配の緩い山地</t>
  </si>
  <si>
    <t>勾配の急な山地</t>
  </si>
  <si>
    <t>0.40～0.60</t>
  </si>
  <si>
    <t>田･水面</t>
  </si>
  <si>
    <t>0.70～0.80</t>
  </si>
  <si>
    <t>畑</t>
  </si>
  <si>
    <t>標準</t>
  </si>
  <si>
    <t>蓋の種類</t>
  </si>
  <si>
    <t>蓋落下穴</t>
  </si>
  <si>
    <r>
      <t>面積 cm</t>
    </r>
    <r>
      <rPr>
        <vertAlign val="superscript"/>
        <sz val="11"/>
        <rFont val="ＭＳ Ｐ明朝"/>
        <family val="1"/>
      </rPr>
      <t>3</t>
    </r>
  </si>
  <si>
    <t>8以上</t>
  </si>
  <si>
    <t>補正係数　ｐ</t>
  </si>
  <si>
    <t>落下率 r</t>
  </si>
  <si>
    <t>0.45～0.70</t>
  </si>
  <si>
    <t>0.65～0.85</t>
  </si>
  <si>
    <t>0.80～0.96</t>
  </si>
  <si>
    <t>0.04～0.11</t>
  </si>
  <si>
    <t>0.09～0.33</t>
  </si>
  <si>
    <t>0.27～0.44</t>
  </si>
  <si>
    <t>混合形</t>
  </si>
  <si>
    <t>格子形</t>
  </si>
  <si>
    <t>0.18～0.72</t>
  </si>
  <si>
    <t>0.30～0.96</t>
  </si>
  <si>
    <t>0.39～1.00</t>
  </si>
  <si>
    <t>0.19～0.53</t>
  </si>
  <si>
    <t>0.27～0.63</t>
  </si>
  <si>
    <t>0.36～0.74</t>
  </si>
  <si>
    <t>0.62～0.86</t>
  </si>
  <si>
    <t>0.71～1.00</t>
  </si>
  <si>
    <t>0.76～1.00</t>
  </si>
  <si>
    <t>0.17～0.70</t>
  </si>
  <si>
    <t>0.25～0.84</t>
  </si>
  <si>
    <t>0.28～0.95</t>
  </si>
  <si>
    <t>注　1)</t>
  </si>
  <si>
    <t>γ=γ*・ρ, Q:側溝流量, i:縦断勾配</t>
  </si>
  <si>
    <t>注　2)</t>
  </si>
  <si>
    <t>横断勾配などが表の値と異なる場合の</t>
  </si>
  <si>
    <t>※道路土工　排水溝指針　S62･6月　（社）日本道路協会　44P</t>
  </si>
  <si>
    <t>※道路土工　排水溝指針　S62･6月　（社）日本道路協会　46P</t>
  </si>
  <si>
    <t>係数</t>
  </si>
  <si>
    <t>係数値</t>
  </si>
  <si>
    <t>a</t>
  </si>
  <si>
    <t>b</t>
  </si>
  <si>
    <t>側溝の</t>
  </si>
  <si>
    <t>横断勾配</t>
  </si>
  <si>
    <t>注）</t>
  </si>
  <si>
    <t>S=10%,1.5%については実験で求められた値であるが、</t>
  </si>
  <si>
    <t>勾配％</t>
  </si>
  <si>
    <t>a2</t>
  </si>
  <si>
    <t>b2</t>
  </si>
  <si>
    <t>平均</t>
  </si>
  <si>
    <t>表より</t>
  </si>
  <si>
    <t>道路からの縁石高</t>
  </si>
  <si>
    <t>10分以下は10分とする</t>
  </si>
  <si>
    <t>桝最大間隔は 30 mとしている</t>
  </si>
  <si>
    <t>見かけの落下率　r*</t>
  </si>
  <si>
    <t>a1</t>
  </si>
  <si>
    <t>b1</t>
  </si>
  <si>
    <t>混合</t>
  </si>
  <si>
    <t>格子</t>
  </si>
  <si>
    <t>蓋横断勾配</t>
  </si>
  <si>
    <t>蓋 L=</t>
  </si>
  <si>
    <t>範囲値</t>
  </si>
  <si>
    <t>落下率 r=</t>
  </si>
  <si>
    <t>S=6%の a,b,a1,b1 の値は内挿によって求められている。</t>
  </si>
  <si>
    <t>桝吞口 L の確認</t>
  </si>
  <si>
    <t>桝間隔 Ls 算出</t>
  </si>
  <si>
    <t>補正率 p=</t>
  </si>
  <si>
    <t>落下率 r*=</t>
  </si>
  <si>
    <t>A=100以下は無</t>
  </si>
  <si>
    <t>格子形</t>
  </si>
  <si>
    <t>桝横断</t>
  </si>
  <si>
    <t>縦断勾配%</t>
  </si>
  <si>
    <t>通常は平均値使用</t>
  </si>
  <si>
    <r>
      <t>m</t>
    </r>
    <r>
      <rPr>
        <vertAlign val="superscript"/>
        <sz val="11"/>
        <rFont val="ＭＳ Ｐ明朝"/>
        <family val="1"/>
      </rPr>
      <t>2</t>
    </r>
  </si>
  <si>
    <t>旭川市</t>
  </si>
  <si>
    <t>降雨強度使用</t>
  </si>
  <si>
    <t xml:space="preserve"> 道 路 雨 水 桝 間 隔 計 算</t>
  </si>
  <si>
    <t>C</t>
  </si>
  <si>
    <t>I</t>
  </si>
  <si>
    <t>W</t>
  </si>
  <si>
    <t>確率年</t>
  </si>
  <si>
    <t>到達時間</t>
  </si>
  <si>
    <t>北海道</t>
  </si>
  <si>
    <r>
      <t>I=a/(t^</t>
    </r>
    <r>
      <rPr>
        <vertAlign val="superscript"/>
        <sz val="11"/>
        <rFont val="ＭＳ Ｐ明朝"/>
        <family val="1"/>
      </rPr>
      <t>n</t>
    </r>
    <r>
      <rPr>
        <sz val="11"/>
        <rFont val="ＭＳ Ｐ明朝"/>
        <family val="1"/>
      </rPr>
      <t>+b)　t=分/60</t>
    </r>
  </si>
  <si>
    <t>開発行為手引きより</t>
  </si>
  <si>
    <t>大雨資料第12編より</t>
  </si>
  <si>
    <t>0.80～0.90</t>
  </si>
  <si>
    <t>r1=r*･p</t>
  </si>
  <si>
    <t>通常 0.400～0.600</t>
  </si>
  <si>
    <t>使用強度式の単位(分)、(時間)</t>
  </si>
  <si>
    <t>入力部</t>
  </si>
  <si>
    <t>市町村</t>
  </si>
  <si>
    <t>地域</t>
  </si>
  <si>
    <t>Q流量</t>
  </si>
  <si>
    <t>桝横断勾配</t>
  </si>
  <si>
    <t>道路横断勾配</t>
  </si>
  <si>
    <t>蓋形状面積</t>
  </si>
  <si>
    <t>面積</t>
  </si>
  <si>
    <t>流量</t>
  </si>
  <si>
    <t>縦断勾勾配</t>
  </si>
  <si>
    <t>桝横勾</t>
  </si>
  <si>
    <t>横仕切</t>
  </si>
  <si>
    <t>流量差</t>
  </si>
  <si>
    <t>　桝落下率 1 の算出</t>
  </si>
  <si>
    <t>　log A=1/(b1+1)×(1-(b/2))</t>
  </si>
  <si>
    <t>　×log(k･I･aw)-1/(b1+1)log k1</t>
  </si>
  <si>
    <r>
      <t>　k=1/3.6×10</t>
    </r>
    <r>
      <rPr>
        <vertAlign val="superscript"/>
        <sz val="10"/>
        <rFont val="ＭＳ Ｐ明朝"/>
        <family val="1"/>
      </rPr>
      <t>6</t>
    </r>
    <r>
      <rPr>
        <sz val="10"/>
        <rFont val="ＭＳ Ｐ明朝"/>
        <family val="1"/>
      </rPr>
      <t xml:space="preserve">) </t>
    </r>
  </si>
  <si>
    <t>　k1=a1√(a･g) g=9.8</t>
  </si>
  <si>
    <t>　aw:１箇の集水面積</t>
  </si>
  <si>
    <t>1l/sec   以下</t>
  </si>
  <si>
    <t>落下穴面積 A</t>
  </si>
  <si>
    <t>見かけ落下率　r* 計算</t>
  </si>
  <si>
    <t>補正率 p= 表項目検出</t>
  </si>
  <si>
    <t>落下率 r= 表項目算出</t>
  </si>
  <si>
    <t>算出番号</t>
  </si>
  <si>
    <t>勾配％</t>
  </si>
  <si>
    <t>桝吞口長 L の算出</t>
  </si>
  <si>
    <t>桝間隔 Ls の確認</t>
  </si>
  <si>
    <t>m</t>
  </si>
  <si>
    <t>路面長 W1=</t>
  </si>
  <si>
    <t>1/2×h1×W1</t>
  </si>
  <si>
    <r>
      <t xml:space="preserve">1/2×h2×L+L×h1  </t>
    </r>
    <r>
      <rPr>
        <sz val="10"/>
        <color indexed="30"/>
        <rFont val="ＭＳ Ｐ明朝"/>
        <family val="1"/>
      </rPr>
      <t>1/2×</t>
    </r>
  </si>
  <si>
    <t>l/sec</t>
  </si>
  <si>
    <r>
      <t>√(L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+h2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)+h   　　　　</t>
    </r>
    <r>
      <rPr>
        <sz val="11"/>
        <color indexed="30"/>
        <rFont val="ＭＳ Ｐ明朝"/>
        <family val="1"/>
      </rPr>
      <t>√</t>
    </r>
  </si>
  <si>
    <r>
      <t>√(W1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+h1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 xml:space="preserve">)            </t>
    </r>
    <r>
      <rPr>
        <sz val="11"/>
        <color indexed="30"/>
        <rFont val="ＭＳ Ｐ明朝"/>
        <family val="1"/>
      </rPr>
      <t>√</t>
    </r>
  </si>
  <si>
    <t>桝部</t>
  </si>
  <si>
    <t>路部</t>
  </si>
  <si>
    <t>桝長</t>
  </si>
  <si>
    <t>h1=桝上流部 h    h2=桝下流部h  h=</t>
  </si>
  <si>
    <t>Q１</t>
  </si>
  <si>
    <t>Q</t>
  </si>
  <si>
    <t>L/h=</t>
  </si>
  <si>
    <t>μ=a2(L/h)+b2</t>
  </si>
  <si>
    <t>水面高さ h</t>
  </si>
  <si>
    <t>l/sec</t>
  </si>
  <si>
    <t>q</t>
  </si>
  <si>
    <r>
      <t>Q2=0.0104･μ・(h+h2)</t>
    </r>
    <r>
      <rPr>
        <vertAlign val="superscript"/>
        <sz val="11"/>
        <rFont val="ＭＳ Ｐ明朝"/>
        <family val="1"/>
      </rPr>
      <t>3/2</t>
    </r>
  </si>
  <si>
    <t>Q2</t>
  </si>
  <si>
    <t>平均 r=</t>
  </si>
  <si>
    <t>Ls=</t>
  </si>
  <si>
    <t>降雨強度式(分)</t>
  </si>
  <si>
    <t>降雨強度式(時間)</t>
  </si>
  <si>
    <t>r×Q1 l/sec</t>
  </si>
  <si>
    <t>1 縦仕切</t>
  </si>
  <si>
    <t>2 横断切</t>
  </si>
  <si>
    <t>4 格子形</t>
  </si>
  <si>
    <t>桝面積</t>
  </si>
  <si>
    <t>平均値</t>
  </si>
  <si>
    <t>桝比率後</t>
  </si>
  <si>
    <t>(表)桝横勾</t>
  </si>
  <si>
    <t>縦断比率後</t>
  </si>
  <si>
    <t>比率後</t>
  </si>
  <si>
    <t>横断比率後</t>
  </si>
  <si>
    <t>横断比率</t>
  </si>
  <si>
    <t xml:space="preserve"> 縦比率</t>
  </si>
  <si>
    <r>
      <t>l</t>
    </r>
    <r>
      <rPr>
        <sz val="11"/>
        <color indexed="17"/>
        <rFont val="ＭＳ Ｐ明朝"/>
        <family val="1"/>
      </rPr>
      <t>/sec</t>
    </r>
  </si>
  <si>
    <t>舗装0.6～1.5</t>
  </si>
  <si>
    <t>V</t>
  </si>
  <si>
    <r>
      <t>V=1/n・G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・R</t>
    </r>
    <r>
      <rPr>
        <vertAlign val="superscript"/>
        <sz val="11"/>
        <rFont val="ＭＳ Ｐ明朝"/>
        <family val="1"/>
      </rPr>
      <t xml:space="preserve">2/3  </t>
    </r>
    <r>
      <rPr>
        <sz val="11"/>
        <rFont val="ＭＳ Ｐ明朝"/>
        <family val="1"/>
      </rPr>
      <t>Q=A・V</t>
    </r>
  </si>
  <si>
    <r>
      <t>q=(1/3.6×10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)×C×I×W</t>
    </r>
  </si>
  <si>
    <r>
      <t>q=(C・I・W)/(3.6×10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)=(1/3.6×10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)×C×I×W</t>
    </r>
  </si>
  <si>
    <t>m　 計=</t>
  </si>
  <si>
    <r>
      <t>Q1=1/n・G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・R</t>
    </r>
    <r>
      <rPr>
        <vertAlign val="superscript"/>
        <sz val="11"/>
        <rFont val="ＭＳ Ｐ明朝"/>
        <family val="1"/>
      </rPr>
      <t>2/3</t>
    </r>
    <r>
      <rPr>
        <sz val="11"/>
        <rFont val="ＭＳ Ｐ明朝"/>
        <family val="1"/>
      </rPr>
      <t>・A・rr</t>
    </r>
  </si>
  <si>
    <r>
      <t>/ 10</t>
    </r>
    <r>
      <rPr>
        <vertAlign val="superscript"/>
        <sz val="11"/>
        <rFont val="ＭＳ Ｐ明朝"/>
        <family val="1"/>
      </rPr>
      <t>3</t>
    </r>
  </si>
  <si>
    <t>落下流量の算出</t>
  </si>
  <si>
    <r>
      <t xml:space="preserve">3/2    </t>
    </r>
    <r>
      <rPr>
        <sz val="11"/>
        <color indexed="12"/>
        <rFont val="ＭＳ Ｐ明朝"/>
        <family val="1"/>
      </rPr>
      <t>=</t>
    </r>
  </si>
  <si>
    <t>L=</t>
  </si>
  <si>
    <t>mm→m</t>
  </si>
  <si>
    <r>
      <t>×10</t>
    </r>
    <r>
      <rPr>
        <vertAlign val="super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=</t>
    </r>
  </si>
  <si>
    <r>
      <t>Q=0.0104・μ・L・(h+h2)</t>
    </r>
    <r>
      <rPr>
        <vertAlign val="superscript"/>
        <sz val="11"/>
        <rFont val="ＭＳ Ｐ明朝"/>
        <family val="1"/>
      </rPr>
      <t>3/2</t>
    </r>
  </si>
  <si>
    <r>
      <t>1単位→% ×10</t>
    </r>
    <r>
      <rPr>
        <vertAlign val="superscript"/>
        <sz val="10"/>
        <rFont val="ＭＳ Ｐ明朝"/>
        <family val="1"/>
      </rPr>
      <t>2　　</t>
    </r>
    <r>
      <rPr>
        <sz val="10"/>
        <rFont val="ＭＳ Ｐ明朝"/>
        <family val="1"/>
      </rPr>
      <t>Q1</t>
    </r>
  </si>
  <si>
    <t>ﾘｽﾄ選択</t>
  </si>
  <si>
    <t>時間</t>
  </si>
  <si>
    <t>I型A</t>
  </si>
  <si>
    <t>縦</t>
  </si>
  <si>
    <t>横　　</t>
  </si>
  <si>
    <t>I型B</t>
  </si>
  <si>
    <t>II型A</t>
  </si>
  <si>
    <t>II型B</t>
  </si>
  <si>
    <t>650-A型</t>
  </si>
  <si>
    <t>650-B型</t>
  </si>
  <si>
    <t>610型</t>
  </si>
  <si>
    <t>500型</t>
  </si>
  <si>
    <t>540型</t>
  </si>
  <si>
    <t>雨水桝名</t>
  </si>
  <si>
    <t>II型C</t>
  </si>
  <si>
    <t>II型D</t>
  </si>
  <si>
    <t>670-680</t>
  </si>
  <si>
    <r>
      <t>　k=1/3.6×10</t>
    </r>
    <r>
      <rPr>
        <vertAlign val="superscript"/>
        <sz val="10"/>
        <rFont val="ＭＳ Ｐ明朝"/>
        <family val="1"/>
      </rPr>
      <t>6</t>
    </r>
    <r>
      <rPr>
        <sz val="10"/>
        <rFont val="ＭＳ Ｐ明朝"/>
        <family val="1"/>
      </rPr>
      <t>) 　　k1=a1√(a･g) g=9.8</t>
    </r>
  </si>
  <si>
    <t>参考</t>
  </si>
  <si>
    <t>次ﾍﾟｰｼﾞ参考</t>
  </si>
  <si>
    <t>算出用縦断勾配補正表</t>
  </si>
  <si>
    <r>
      <t>1/(3.6×10</t>
    </r>
    <r>
      <rPr>
        <vertAlign val="superscript"/>
        <sz val="11"/>
        <rFont val="ＭＳ Ｐ明朝"/>
        <family val="1"/>
      </rPr>
      <t>3)</t>
    </r>
  </si>
  <si>
    <t>h=h1+h2</t>
  </si>
  <si>
    <t>1=n1･W1</t>
  </si>
  <si>
    <t>h2=n2･L</t>
  </si>
  <si>
    <r>
      <t>G1/2/10</t>
    </r>
    <r>
      <rPr>
        <vertAlign val="super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%→1単位 ×R</t>
    </r>
    <r>
      <rPr>
        <vertAlign val="superscript"/>
        <sz val="11"/>
        <rFont val="ＭＳ Ｐ明朝"/>
        <family val="1"/>
      </rPr>
      <t>2/3</t>
    </r>
  </si>
  <si>
    <t>　　1/n×</t>
  </si>
  <si>
    <t>補正係数は内挿によって求める。</t>
  </si>
  <si>
    <r>
      <rPr>
        <b/>
        <vertAlign val="superscript"/>
        <sz val="11"/>
        <rFont val="ＭＳ Ｐ明朝"/>
        <family val="1"/>
      </rPr>
      <t xml:space="preserve">  </t>
    </r>
    <r>
      <rPr>
        <b/>
        <sz val="11"/>
        <rFont val="ＭＳ Ｐ明朝"/>
        <family val="1"/>
      </rPr>
      <t>L=</t>
    </r>
  </si>
  <si>
    <t>3 混合形  　　 ﾀﾞｸﾞﾀｲﾙ含</t>
  </si>
  <si>
    <t>r*=見かけ落下率比率値   r=表から平均比率値　p=表から比率補正値</t>
  </si>
  <si>
    <t>h2=h1+桝長×縦断勾配</t>
  </si>
  <si>
    <t>m/sec　0.6以上はG=0.76%上</t>
  </si>
  <si>
    <t>※道路土工　排水溝指針(参照)</t>
  </si>
</sst>
</file>

<file path=xl/styles.xml><?xml version="1.0" encoding="utf-8"?>
<styleSheet xmlns="http://schemas.openxmlformats.org/spreadsheetml/2006/main">
  <numFmts count="8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=&quot;#,##0"/>
    <numFmt numFmtId="177" formatCode="&quot;t=&quot;#,##0"/>
    <numFmt numFmtId="178" formatCode="&quot;b=&quot;#,##0"/>
    <numFmt numFmtId="179" formatCode="&quot;C=&quot;0.00"/>
    <numFmt numFmtId="180" formatCode="&quot;W=&quot;0.00"/>
    <numFmt numFmtId="181" formatCode="&quot;G=&quot;0.00"/>
    <numFmt numFmtId="182" formatCode="&quot;n=&quot;0.00"/>
    <numFmt numFmtId="183" formatCode="&quot;B=&quot;0.00"/>
    <numFmt numFmtId="184" formatCode="&quot;n=&quot;0.000"/>
    <numFmt numFmtId="185" formatCode="&quot;L=&quot;0.00"/>
    <numFmt numFmtId="186" formatCode="0.000"/>
    <numFmt numFmtId="187" formatCode="0.000&quot;+&quot;"/>
    <numFmt numFmtId="188" formatCode="0.000&quot;×&quot;"/>
    <numFmt numFmtId="189" formatCode="0.000&quot;+√(&quot;"/>
    <numFmt numFmtId="190" formatCode="&quot;t=&quot;0.00"/>
    <numFmt numFmtId="191" formatCode="&quot;a=&quot;0.00"/>
    <numFmt numFmtId="192" formatCode="&quot;b=&quot;0.00"/>
    <numFmt numFmtId="193" formatCode="&quot;縦断勾配=&quot;0.00&quot;%&quot;"/>
    <numFmt numFmtId="194" formatCode="#,##0.000;[Red]\-#,##0.000"/>
    <numFmt numFmtId="195" formatCode="#,##0.0000;[Red]\-#,##0.0000"/>
    <numFmt numFmtId="196" formatCode="#,##0.000000;[Red]\-#,##0.000000"/>
    <numFmt numFmtId="197" formatCode="0.0000&quot;×&quot;\ "/>
    <numFmt numFmtId="198" formatCode="&quot;× &quot;0.00"/>
    <numFmt numFmtId="199" formatCode="0.000&quot;=&quot;"/>
    <numFmt numFmtId="200" formatCode="0.000&quot;×&quot;\ "/>
    <numFmt numFmtId="201" formatCode="0.0000&quot;×&quot;"/>
    <numFmt numFmtId="202" formatCode="#,##0.00000;[Red]\-#,##0.00000"/>
    <numFmt numFmtId="203" formatCode="0.000&quot;)&quot;"/>
    <numFmt numFmtId="204" formatCode="&quot;L=&quot;0.000&quot;m&quot;"/>
    <numFmt numFmtId="205" formatCode="&quot;r=&quot;0.00&quot;×&quot;"/>
    <numFmt numFmtId="206" formatCode="&quot;rr=&quot;0"/>
    <numFmt numFmtId="207" formatCode="0.00_ "/>
    <numFmt numFmtId="208" formatCode="0.000&quot; = &quot;"/>
    <numFmt numFmtId="209" formatCode="0.0000_ "/>
    <numFmt numFmtId="210" formatCode="0.0%"/>
    <numFmt numFmtId="211" formatCode="&quot;L=&quot;0.000"/>
    <numFmt numFmtId="212" formatCode="#,##0.000000000;[Red]\-#,##0.000000000"/>
    <numFmt numFmtId="213" formatCode="&quot;(&quot;0.000&quot;+&quot;"/>
    <numFmt numFmtId="214" formatCode="0.000_ "/>
    <numFmt numFmtId="215" formatCode="&quot;h1=&quot;0.000"/>
    <numFmt numFmtId="216" formatCode="&quot;h2=&quot;0.000"/>
    <numFmt numFmtId="217" formatCode="&quot;%   &quot;0.0&quot; ‰&quot;"/>
    <numFmt numFmtId="218" formatCode="&quot;L1=&quot;0.000&quot;m&quot;"/>
    <numFmt numFmtId="219" formatCode="&quot;r*=&quot;0.00&quot;×&quot;"/>
    <numFmt numFmtId="220" formatCode="&quot;p=&quot;0.00&quot;=&quot;"/>
    <numFmt numFmtId="221" formatCode="&quot;I=&quot;0.00&quot;=&quot;"/>
    <numFmt numFmtId="222" formatCode="&quot;r1=&quot;0.00"/>
    <numFmt numFmtId="223" formatCode="&quot;r2=&quot;0.00"/>
    <numFmt numFmtId="224" formatCode="0.00&quot;%&quot;"/>
    <numFmt numFmtId="225" formatCode="#,##0.0;[Red]\-#,##0.0"/>
    <numFmt numFmtId="226" formatCode="0.0_ "/>
    <numFmt numFmtId="227" formatCode="0.0&quot;%&quot;"/>
    <numFmt numFmtId="228" formatCode="&quot;n1=&quot;0.0"/>
    <numFmt numFmtId="229" formatCode="&quot;n2=&quot;0.0"/>
    <numFmt numFmtId="230" formatCode="&quot;h=&quot;0.000"/>
    <numFmt numFmtId="231" formatCode="0.000&quot; m&quot;"/>
    <numFmt numFmtId="232" formatCode="0.000&quot; =&quot;"/>
    <numFmt numFmtId="233" formatCode="&quot;r2=&quot;0.00&quot;×&quot;"/>
    <numFmt numFmtId="234" formatCode="0.000000&quot;)+&quot;"/>
    <numFmt numFmtId="235" formatCode="0.000000&quot;)=&quot;"/>
    <numFmt numFmtId="236" formatCode="&quot;×&quot;0.00"/>
    <numFmt numFmtId="237" formatCode="0&quot; 年&quot;"/>
    <numFmt numFmtId="238" formatCode="&quot;q=&quot;0.0000"/>
    <numFmt numFmtId="239" formatCode="0.0&quot; l/sec&quot;"/>
    <numFmt numFmtId="240" formatCode="0.000&quot;=&quot;\ "/>
    <numFmt numFmtId="241" formatCode="0.0000&quot;= &quot;"/>
    <numFmt numFmtId="242" formatCode="&quot;h=&quot;0.000&quot;m&quot;"/>
    <numFmt numFmtId="243" formatCode="0.000&quot; /&quot;"/>
    <numFmt numFmtId="244" formatCode="&quot;(&quot;0.000&quot; +&quot;"/>
  </numFmts>
  <fonts count="81">
    <font>
      <sz val="11"/>
      <name val="ＭＳ Ｐ明朝"/>
      <family val="1"/>
    </font>
    <font>
      <sz val="6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7"/>
      <name val="ＭＳ Ｐ明朝"/>
      <family val="1"/>
    </font>
    <font>
      <vertAlign val="superscript"/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1"/>
      <color indexed="30"/>
      <name val="ＭＳ Ｐ明朝"/>
      <family val="1"/>
    </font>
    <font>
      <sz val="10"/>
      <color indexed="30"/>
      <name val="ＭＳ Ｐ明朝"/>
      <family val="1"/>
    </font>
    <font>
      <sz val="11"/>
      <color indexed="12"/>
      <name val="ＭＳ Ｐ明朝"/>
      <family val="1"/>
    </font>
    <font>
      <b/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明朝"/>
      <family val="1"/>
    </font>
    <font>
      <vertAlign val="superscript"/>
      <sz val="11"/>
      <color indexed="12"/>
      <name val="ＭＳ Ｐ明朝"/>
      <family val="1"/>
    </font>
    <font>
      <sz val="9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30"/>
      <name val="ＭＳ Ｐ明朝"/>
      <family val="1"/>
    </font>
    <font>
      <sz val="10"/>
      <color indexed="17"/>
      <name val="ＭＳ Ｐ明朝"/>
      <family val="1"/>
    </font>
    <font>
      <b/>
      <sz val="10"/>
      <color indexed="14"/>
      <name val="ＭＳ Ｐ明朝"/>
      <family val="1"/>
    </font>
    <font>
      <b/>
      <sz val="11"/>
      <color indexed="17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明朝"/>
      <family val="1"/>
    </font>
    <font>
      <sz val="11"/>
      <color rgb="FF0033CC"/>
      <name val="ＭＳ Ｐ明朝"/>
      <family val="1"/>
    </font>
    <font>
      <b/>
      <sz val="11"/>
      <color rgb="FFFF3399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11"/>
      <color theme="0"/>
      <name val="ＭＳ Ｐ明朝"/>
      <family val="1"/>
    </font>
    <font>
      <vertAlign val="superscript"/>
      <sz val="11"/>
      <color rgb="FF0000FF"/>
      <name val="ＭＳ Ｐ明朝"/>
      <family val="1"/>
    </font>
    <font>
      <sz val="9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rgb="FF0033CC"/>
      <name val="ＭＳ Ｐ明朝"/>
      <family val="1"/>
    </font>
    <font>
      <sz val="9"/>
      <color rgb="FF0033CC"/>
      <name val="ＭＳ Ｐ明朝"/>
      <family val="1"/>
    </font>
    <font>
      <sz val="10"/>
      <color rgb="FF008000"/>
      <name val="ＭＳ Ｐ明朝"/>
      <family val="1"/>
    </font>
    <font>
      <sz val="11"/>
      <color rgb="FF008000"/>
      <name val="ＭＳ Ｐ明朝"/>
      <family val="1"/>
    </font>
    <font>
      <b/>
      <sz val="11"/>
      <color rgb="FF008000"/>
      <name val="ＭＳ Ｐ明朝"/>
      <family val="1"/>
    </font>
    <font>
      <b/>
      <sz val="10"/>
      <color rgb="FFFF3399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hair"/>
      <right style="thin">
        <color rgb="FFFF0000"/>
      </right>
      <top style="thin"/>
      <bottom style="thin"/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 style="medium">
        <color rgb="FFFF0000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hair">
        <color rgb="FFFF0000"/>
      </bottom>
    </border>
    <border>
      <left style="hair"/>
      <right>
        <color indexed="63"/>
      </right>
      <top style="medium">
        <color rgb="FFFF0000"/>
      </top>
      <bottom style="hair">
        <color rgb="FFFF0000"/>
      </bottom>
    </border>
    <border>
      <left style="medium">
        <color rgb="FFFF0000"/>
      </left>
      <right style="hair"/>
      <top style="hair">
        <color rgb="FFFF0000"/>
      </top>
      <bottom style="hair">
        <color rgb="FFFF0000"/>
      </bottom>
    </border>
    <border>
      <left style="hair"/>
      <right>
        <color indexed="63"/>
      </right>
      <top style="hair">
        <color rgb="FFFF0000"/>
      </top>
      <bottom style="hair">
        <color rgb="FFFF0000"/>
      </bottom>
    </border>
    <border>
      <left style="medium">
        <color rgb="FFFF0000"/>
      </left>
      <right style="hair"/>
      <top style="hair">
        <color rgb="FFFF0000"/>
      </top>
      <bottom style="medium">
        <color rgb="FFFF0000"/>
      </bottom>
    </border>
    <border>
      <left style="hair"/>
      <right>
        <color indexed="63"/>
      </right>
      <top style="hair">
        <color rgb="FFFF0000"/>
      </top>
      <bottom style="medium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59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6" fontId="66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188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 quotePrefix="1">
      <alignment horizontal="center" vertical="center"/>
    </xf>
    <xf numFmtId="19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1" fontId="66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52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0" fontId="0" fillId="0" borderId="11" xfId="52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0" fontId="0" fillId="0" borderId="15" xfId="52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0" fontId="0" fillId="0" borderId="14" xfId="52" applyNumberFormat="1" applyFont="1" applyBorder="1" applyAlignment="1">
      <alignment vertical="center"/>
    </xf>
    <xf numFmtId="207" fontId="0" fillId="0" borderId="16" xfId="0" applyNumberFormat="1" applyBorder="1" applyAlignment="1">
      <alignment vertical="center"/>
    </xf>
    <xf numFmtId="20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207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95" fontId="0" fillId="0" borderId="20" xfId="52" applyNumberFormat="1" applyFont="1" applyBorder="1" applyAlignment="1">
      <alignment vertical="center"/>
    </xf>
    <xf numFmtId="195" fontId="0" fillId="0" borderId="15" xfId="52" applyNumberFormat="1" applyFont="1" applyBorder="1" applyAlignment="1">
      <alignment vertical="center"/>
    </xf>
    <xf numFmtId="194" fontId="0" fillId="0" borderId="18" xfId="52" applyNumberFormat="1" applyFont="1" applyBorder="1" applyAlignment="1">
      <alignment vertical="center"/>
    </xf>
    <xf numFmtId="194" fontId="0" fillId="0" borderId="14" xfId="5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40" fontId="0" fillId="0" borderId="11" xfId="52" applyNumberFormat="1" applyFont="1" applyFill="1" applyBorder="1" applyAlignment="1">
      <alignment vertical="center"/>
    </xf>
    <xf numFmtId="207" fontId="0" fillId="0" borderId="17" xfId="0" applyNumberFormat="1" applyFill="1" applyBorder="1" applyAlignment="1">
      <alignment vertical="center"/>
    </xf>
    <xf numFmtId="207" fontId="0" fillId="0" borderId="16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4" fontId="0" fillId="0" borderId="20" xfId="52" applyNumberFormat="1" applyFont="1" applyBorder="1" applyAlignment="1">
      <alignment vertical="center"/>
    </xf>
    <xf numFmtId="194" fontId="0" fillId="0" borderId="15" xfId="52" applyNumberFormat="1" applyFont="1" applyBorder="1" applyAlignment="1">
      <alignment vertical="center"/>
    </xf>
    <xf numFmtId="194" fontId="0" fillId="0" borderId="16" xfId="52" applyNumberFormat="1" applyFont="1" applyBorder="1" applyAlignment="1">
      <alignment vertical="center"/>
    </xf>
    <xf numFmtId="194" fontId="0" fillId="0" borderId="19" xfId="52" applyNumberFormat="1" applyFont="1" applyBorder="1" applyAlignment="1">
      <alignment vertical="center"/>
    </xf>
    <xf numFmtId="194" fontId="0" fillId="0" borderId="22" xfId="52" applyNumberFormat="1" applyFont="1" applyBorder="1" applyAlignment="1">
      <alignment vertical="center"/>
    </xf>
    <xf numFmtId="194" fontId="0" fillId="0" borderId="30" xfId="52" applyNumberFormat="1" applyFont="1" applyBorder="1" applyAlignment="1">
      <alignment vertical="center"/>
    </xf>
    <xf numFmtId="194" fontId="0" fillId="0" borderId="31" xfId="52" applyNumberFormat="1" applyFont="1" applyBorder="1" applyAlignment="1">
      <alignment vertical="center"/>
    </xf>
    <xf numFmtId="40" fontId="0" fillId="0" borderId="19" xfId="5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40" fontId="0" fillId="0" borderId="33" xfId="52" applyNumberFormat="1" applyFont="1" applyBorder="1" applyAlignment="1">
      <alignment vertical="center"/>
    </xf>
    <xf numFmtId="207" fontId="0" fillId="0" borderId="34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0" fontId="0" fillId="0" borderId="30" xfId="52" applyNumberFormat="1" applyFont="1" applyBorder="1" applyAlignment="1">
      <alignment vertical="center"/>
    </xf>
    <xf numFmtId="207" fontId="0" fillId="0" borderId="31" xfId="0" applyNumberFormat="1" applyBorder="1" applyAlignment="1">
      <alignment vertical="center"/>
    </xf>
    <xf numFmtId="190" fontId="67" fillId="0" borderId="11" xfId="0" applyNumberFormat="1" applyFont="1" applyFill="1" applyBorder="1" applyAlignment="1">
      <alignment horizontal="center" vertical="center"/>
    </xf>
    <xf numFmtId="40" fontId="67" fillId="0" borderId="11" xfId="52" applyNumberFormat="1" applyFont="1" applyBorder="1" applyAlignment="1">
      <alignment vertical="center"/>
    </xf>
    <xf numFmtId="40" fontId="67" fillId="0" borderId="14" xfId="52" applyNumberFormat="1" applyFont="1" applyBorder="1" applyAlignment="1">
      <alignment vertical="center"/>
    </xf>
    <xf numFmtId="40" fontId="0" fillId="0" borderId="15" xfId="52" applyNumberFormat="1" applyFont="1" applyFill="1" applyBorder="1" applyAlignment="1">
      <alignment vertical="center"/>
    </xf>
    <xf numFmtId="40" fontId="0" fillId="0" borderId="14" xfId="52" applyNumberFormat="1" applyFont="1" applyFill="1" applyBorder="1" applyAlignment="1">
      <alignment vertical="center"/>
    </xf>
    <xf numFmtId="9" fontId="0" fillId="0" borderId="14" xfId="0" applyNumberFormat="1" applyFill="1" applyBorder="1" applyAlignment="1">
      <alignment horizontal="center" vertical="center"/>
    </xf>
    <xf numFmtId="207" fontId="0" fillId="0" borderId="19" xfId="0" applyNumberFormat="1" applyFill="1" applyBorder="1" applyAlignment="1">
      <alignment vertical="center"/>
    </xf>
    <xf numFmtId="40" fontId="7" fillId="0" borderId="11" xfId="54" applyNumberFormat="1" applyFont="1" applyFill="1" applyBorder="1" applyAlignment="1">
      <alignment vertical="center"/>
    </xf>
    <xf numFmtId="194" fontId="0" fillId="0" borderId="15" xfId="52" applyNumberFormat="1" applyFont="1" applyFill="1" applyBorder="1" applyAlignment="1">
      <alignment vertical="center"/>
    </xf>
    <xf numFmtId="194" fontId="0" fillId="0" borderId="16" xfId="52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94" fontId="0" fillId="0" borderId="14" xfId="52" applyNumberFormat="1" applyFont="1" applyFill="1" applyBorder="1" applyAlignment="1">
      <alignment vertical="center"/>
    </xf>
    <xf numFmtId="194" fontId="0" fillId="0" borderId="19" xfId="52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77" fontId="6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0" fontId="5" fillId="0" borderId="10" xfId="52" applyNumberFormat="1" applyFont="1" applyBorder="1" applyAlignment="1">
      <alignment horizontal="right" vertical="center"/>
    </xf>
    <xf numFmtId="9" fontId="0" fillId="0" borderId="26" xfId="0" applyNumberFormat="1" applyBorder="1" applyAlignment="1">
      <alignment horizontal="center" vertical="center"/>
    </xf>
    <xf numFmtId="195" fontId="0" fillId="0" borderId="25" xfId="52" applyNumberFormat="1" applyFont="1" applyBorder="1" applyAlignment="1">
      <alignment horizontal="center" vertical="center"/>
    </xf>
    <xf numFmtId="194" fontId="0" fillId="0" borderId="26" xfId="52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0" fontId="0" fillId="0" borderId="29" xfId="0" applyNumberFormat="1" applyBorder="1" applyAlignment="1">
      <alignment vertical="center"/>
    </xf>
    <xf numFmtId="40" fontId="0" fillId="0" borderId="20" xfId="52" applyNumberFormat="1" applyFont="1" applyBorder="1" applyAlignment="1">
      <alignment vertical="center"/>
    </xf>
    <xf numFmtId="40" fontId="0" fillId="0" borderId="16" xfId="52" applyNumberFormat="1" applyFont="1" applyBorder="1" applyAlignment="1">
      <alignment horizontal="center" vertical="center"/>
    </xf>
    <xf numFmtId="40" fontId="0" fillId="0" borderId="21" xfId="52" applyNumberFormat="1" applyFont="1" applyBorder="1" applyAlignment="1">
      <alignment vertical="center"/>
    </xf>
    <xf numFmtId="40" fontId="0" fillId="0" borderId="17" xfId="52" applyNumberFormat="1" applyFont="1" applyBorder="1" applyAlignment="1">
      <alignment horizontal="center" vertical="center"/>
    </xf>
    <xf numFmtId="40" fontId="0" fillId="0" borderId="18" xfId="52" applyNumberFormat="1" applyFont="1" applyBorder="1" applyAlignment="1">
      <alignment vertical="center"/>
    </xf>
    <xf numFmtId="40" fontId="0" fillId="0" borderId="32" xfId="52" applyNumberFormat="1" applyFont="1" applyBorder="1" applyAlignment="1">
      <alignment vertical="center"/>
    </xf>
    <xf numFmtId="40" fontId="0" fillId="0" borderId="34" xfId="52" applyNumberFormat="1" applyFont="1" applyBorder="1" applyAlignment="1">
      <alignment horizontal="center" vertical="center"/>
    </xf>
    <xf numFmtId="40" fontId="0" fillId="0" borderId="21" xfId="52" applyNumberFormat="1" applyFont="1" applyFill="1" applyBorder="1" applyAlignment="1">
      <alignment vertical="center"/>
    </xf>
    <xf numFmtId="40" fontId="0" fillId="0" borderId="17" xfId="52" applyNumberFormat="1" applyFont="1" applyFill="1" applyBorder="1" applyAlignment="1">
      <alignment horizontal="center" vertical="center"/>
    </xf>
    <xf numFmtId="40" fontId="0" fillId="0" borderId="21" xfId="52" applyNumberFormat="1" applyFont="1" applyFill="1" applyBorder="1" applyAlignment="1">
      <alignment vertical="center"/>
    </xf>
    <xf numFmtId="40" fontId="0" fillId="0" borderId="22" xfId="52" applyNumberFormat="1" applyFont="1" applyBorder="1" applyAlignment="1">
      <alignment vertical="center"/>
    </xf>
    <xf numFmtId="40" fontId="0" fillId="0" borderId="31" xfId="52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40" fontId="67" fillId="0" borderId="15" xfId="52" applyNumberFormat="1" applyFont="1" applyBorder="1" applyAlignment="1">
      <alignment vertical="center"/>
    </xf>
    <xf numFmtId="226" fontId="0" fillId="0" borderId="15" xfId="0" applyNumberFormat="1" applyFill="1" applyBorder="1" applyAlignment="1">
      <alignment horizontal="center" vertical="center"/>
    </xf>
    <xf numFmtId="226" fontId="0" fillId="0" borderId="11" xfId="0" applyNumberFormat="1" applyFill="1" applyBorder="1" applyAlignment="1">
      <alignment horizontal="center" vertical="center"/>
    </xf>
    <xf numFmtId="226" fontId="0" fillId="0" borderId="14" xfId="0" applyNumberFormat="1" applyFill="1" applyBorder="1" applyAlignment="1">
      <alignment horizontal="center" vertical="center"/>
    </xf>
    <xf numFmtId="40" fontId="5" fillId="0" borderId="0" xfId="52" applyNumberFormat="1" applyFont="1" applyAlignment="1">
      <alignment horizontal="right" vertical="center"/>
    </xf>
    <xf numFmtId="225" fontId="5" fillId="0" borderId="0" xfId="0" applyNumberFormat="1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0" fontId="12" fillId="0" borderId="30" xfId="52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40" fontId="12" fillId="0" borderId="11" xfId="52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0" fontId="67" fillId="0" borderId="15" xfId="52" applyNumberFormat="1" applyFont="1" applyFill="1" applyBorder="1" applyAlignment="1" applyProtection="1">
      <alignment vertical="center"/>
      <protection/>
    </xf>
    <xf numFmtId="40" fontId="67" fillId="0" borderId="43" xfId="52" applyNumberFormat="1" applyFont="1" applyFill="1" applyBorder="1" applyAlignment="1" applyProtection="1">
      <alignment vertical="center"/>
      <protection/>
    </xf>
    <xf numFmtId="40" fontId="67" fillId="0" borderId="44" xfId="52" applyNumberFormat="1" applyFont="1" applyFill="1" applyBorder="1" applyAlignment="1" applyProtection="1">
      <alignment vertical="center"/>
      <protection/>
    </xf>
    <xf numFmtId="40" fontId="67" fillId="0" borderId="45" xfId="52" applyNumberFormat="1" applyFont="1" applyFill="1" applyBorder="1" applyAlignment="1" applyProtection="1">
      <alignment vertical="center"/>
      <protection/>
    </xf>
    <xf numFmtId="227" fontId="0" fillId="0" borderId="0" xfId="52" applyNumberFormat="1" applyFont="1" applyAlignment="1" applyProtection="1">
      <alignment vertical="center"/>
      <protection/>
    </xf>
    <xf numFmtId="40" fontId="12" fillId="0" borderId="23" xfId="52" applyNumberFormat="1" applyFont="1" applyBorder="1" applyAlignment="1" applyProtection="1">
      <alignment horizontal="center" vertical="center"/>
      <protection/>
    </xf>
    <xf numFmtId="40" fontId="67" fillId="0" borderId="43" xfId="52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0" fontId="67" fillId="0" borderId="44" xfId="52" applyNumberFormat="1" applyFont="1" applyBorder="1" applyAlignment="1" applyProtection="1">
      <alignment vertical="center"/>
      <protection/>
    </xf>
    <xf numFmtId="40" fontId="67" fillId="0" borderId="45" xfId="52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6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9" fillId="0" borderId="10" xfId="0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>
      <alignment vertical="center"/>
    </xf>
    <xf numFmtId="177" fontId="69" fillId="0" borderId="0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7" fontId="69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left" vertical="center"/>
    </xf>
    <xf numFmtId="176" fontId="69" fillId="0" borderId="11" xfId="52" applyNumberFormat="1" applyFont="1" applyFill="1" applyBorder="1" applyAlignment="1" applyProtection="1">
      <alignment vertical="center"/>
      <protection locked="0"/>
    </xf>
    <xf numFmtId="178" fontId="69" fillId="0" borderId="11" xfId="0" applyNumberFormat="1" applyFont="1" applyFill="1" applyBorder="1" applyAlignment="1" applyProtection="1">
      <alignment vertical="center"/>
      <protection locked="0"/>
    </xf>
    <xf numFmtId="0" fontId="70" fillId="0" borderId="11" xfId="75" applyFont="1" applyFill="1" applyBorder="1" applyAlignment="1">
      <alignment horizontal="center" vertical="center"/>
      <protection/>
    </xf>
    <xf numFmtId="191" fontId="69" fillId="0" borderId="11" xfId="52" applyNumberFormat="1" applyFont="1" applyFill="1" applyBorder="1" applyAlignment="1" applyProtection="1">
      <alignment vertical="center"/>
      <protection locked="0"/>
    </xf>
    <xf numFmtId="192" fontId="69" fillId="0" borderId="11" xfId="0" applyNumberFormat="1" applyFont="1" applyFill="1" applyBorder="1" applyAlignment="1" applyProtection="1">
      <alignment vertical="center"/>
      <protection locked="0"/>
    </xf>
    <xf numFmtId="182" fontId="69" fillId="0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Font="1" applyFill="1" applyBorder="1" applyAlignment="1">
      <alignment horizontal="right" vertical="center"/>
    </xf>
    <xf numFmtId="40" fontId="66" fillId="0" borderId="10" xfId="52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81" fontId="69" fillId="0" borderId="40" xfId="0" applyNumberFormat="1" applyFont="1" applyFill="1" applyBorder="1" applyAlignment="1" applyProtection="1">
      <alignment vertical="center"/>
      <protection locked="0"/>
    </xf>
    <xf numFmtId="184" fontId="69" fillId="0" borderId="40" xfId="0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>
      <alignment horizontal="center" vertical="center"/>
    </xf>
    <xf numFmtId="183" fontId="0" fillId="0" borderId="0" xfId="0" applyNumberFormat="1" applyFill="1" applyAlignment="1">
      <alignment vertical="center"/>
    </xf>
    <xf numFmtId="211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08" fontId="66" fillId="0" borderId="10" xfId="0" applyNumberFormat="1" applyFont="1" applyFill="1" applyBorder="1" applyAlignment="1">
      <alignment vertical="center"/>
    </xf>
    <xf numFmtId="195" fontId="69" fillId="0" borderId="0" xfId="0" applyNumberFormat="1" applyFont="1" applyFill="1" applyAlignment="1" applyProtection="1">
      <alignment horizontal="center" vertical="center"/>
      <protection locked="0"/>
    </xf>
    <xf numFmtId="216" fontId="67" fillId="0" borderId="0" xfId="52" applyNumberFormat="1" applyFont="1" applyFill="1" applyAlignment="1">
      <alignment horizontal="center" vertical="center"/>
    </xf>
    <xf numFmtId="187" fontId="66" fillId="0" borderId="10" xfId="52" applyNumberFormat="1" applyFont="1" applyFill="1" applyBorder="1" applyAlignment="1">
      <alignment vertical="center"/>
    </xf>
    <xf numFmtId="214" fontId="66" fillId="0" borderId="10" xfId="0" applyNumberFormat="1" applyFont="1" applyFill="1" applyBorder="1" applyAlignment="1">
      <alignment horizontal="center" vertical="center"/>
    </xf>
    <xf numFmtId="188" fontId="66" fillId="0" borderId="10" xfId="0" applyNumberFormat="1" applyFont="1" applyFill="1" applyBorder="1" applyAlignment="1">
      <alignment vertical="center"/>
    </xf>
    <xf numFmtId="203" fontId="66" fillId="0" borderId="10" xfId="52" applyNumberFormat="1" applyFont="1" applyFill="1" applyBorder="1" applyAlignment="1">
      <alignment vertical="center"/>
    </xf>
    <xf numFmtId="56" fontId="72" fillId="0" borderId="10" xfId="0" applyNumberFormat="1" applyFont="1" applyFill="1" applyBorder="1" applyAlignment="1" quotePrefix="1">
      <alignment vertical="center"/>
    </xf>
    <xf numFmtId="40" fontId="67" fillId="0" borderId="11" xfId="52" applyNumberFormat="1" applyFont="1" applyFill="1" applyBorder="1" applyAlignment="1" applyProtection="1">
      <alignment vertical="center"/>
      <protection/>
    </xf>
    <xf numFmtId="40" fontId="67" fillId="0" borderId="14" xfId="52" applyNumberFormat="1" applyFont="1" applyFill="1" applyBorder="1" applyAlignment="1" applyProtection="1">
      <alignment vertical="center"/>
      <protection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228" fontId="69" fillId="0" borderId="40" xfId="0" applyNumberFormat="1" applyFont="1" applyFill="1" applyBorder="1" applyAlignment="1" applyProtection="1">
      <alignment vertical="center"/>
      <protection locked="0"/>
    </xf>
    <xf numFmtId="229" fontId="0" fillId="0" borderId="0" xfId="0" applyNumberFormat="1" applyFill="1" applyAlignment="1">
      <alignment horizontal="center" vertical="center"/>
    </xf>
    <xf numFmtId="228" fontId="0" fillId="0" borderId="0" xfId="0" applyNumberFormat="1" applyFill="1" applyAlignment="1">
      <alignment vertical="center"/>
    </xf>
    <xf numFmtId="0" fontId="12" fillId="0" borderId="11" xfId="79" applyFont="1" applyFill="1" applyBorder="1" applyAlignment="1">
      <alignment horizontal="center" vertical="center"/>
      <protection/>
    </xf>
    <xf numFmtId="0" fontId="73" fillId="0" borderId="11" xfId="75" applyFont="1" applyFill="1" applyBorder="1" applyAlignment="1">
      <alignment horizontal="center" vertical="center"/>
      <protection/>
    </xf>
    <xf numFmtId="40" fontId="0" fillId="0" borderId="48" xfId="52" applyNumberFormat="1" applyFont="1" applyBorder="1" applyAlignment="1">
      <alignment horizontal="center" vertical="center"/>
    </xf>
    <xf numFmtId="40" fontId="0" fillId="0" borderId="49" xfId="52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204" fontId="74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209" fontId="0" fillId="0" borderId="0" xfId="0" applyNumberFormat="1" applyFont="1" applyBorder="1" applyAlignment="1">
      <alignment horizontal="center" vertical="center"/>
    </xf>
    <xf numFmtId="198" fontId="66" fillId="0" borderId="10" xfId="52" applyNumberFormat="1" applyFont="1" applyBorder="1" applyAlignment="1">
      <alignment horizontal="center" vertical="center"/>
    </xf>
    <xf numFmtId="198" fontId="6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40" fontId="69" fillId="0" borderId="34" xfId="52" applyNumberFormat="1" applyFont="1" applyBorder="1" applyAlignment="1" applyProtection="1">
      <alignment vertical="center"/>
      <protection/>
    </xf>
    <xf numFmtId="40" fontId="69" fillId="0" borderId="31" xfId="52" applyNumberFormat="1" applyFont="1" applyBorder="1" applyAlignment="1" applyProtection="1">
      <alignment vertical="center"/>
      <protection/>
    </xf>
    <xf numFmtId="40" fontId="69" fillId="0" borderId="19" xfId="52" applyNumberFormat="1" applyFont="1" applyBorder="1" applyAlignment="1" applyProtection="1">
      <alignment vertical="center"/>
      <protection/>
    </xf>
    <xf numFmtId="40" fontId="69" fillId="0" borderId="17" xfId="52" applyNumberFormat="1" applyFont="1" applyBorder="1" applyAlignment="1" applyProtection="1">
      <alignment vertical="center"/>
      <protection/>
    </xf>
    <xf numFmtId="40" fontId="69" fillId="0" borderId="16" xfId="52" applyNumberFormat="1" applyFont="1" applyBorder="1" applyAlignment="1" applyProtection="1">
      <alignment vertical="center"/>
      <protection/>
    </xf>
    <xf numFmtId="40" fontId="66" fillId="0" borderId="0" xfId="52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40" fontId="67" fillId="0" borderId="20" xfId="52" applyNumberFormat="1" applyFont="1" applyFill="1" applyBorder="1" applyAlignment="1" applyProtection="1">
      <alignment vertical="center"/>
      <protection/>
    </xf>
    <xf numFmtId="40" fontId="67" fillId="0" borderId="15" xfId="52" applyNumberFormat="1" applyFont="1" applyFill="1" applyBorder="1" applyAlignment="1" applyProtection="1">
      <alignment vertical="center"/>
      <protection/>
    </xf>
    <xf numFmtId="40" fontId="67" fillId="0" borderId="16" xfId="52" applyNumberFormat="1" applyFont="1" applyFill="1" applyBorder="1" applyAlignment="1" applyProtection="1">
      <alignment vertical="center"/>
      <protection/>
    </xf>
    <xf numFmtId="40" fontId="69" fillId="0" borderId="43" xfId="52" applyNumberFormat="1" applyFont="1" applyBorder="1" applyAlignment="1" applyProtection="1">
      <alignment vertical="center"/>
      <protection/>
    </xf>
    <xf numFmtId="40" fontId="69" fillId="0" borderId="44" xfId="52" applyNumberFormat="1" applyFont="1" applyBorder="1" applyAlignment="1" applyProtection="1">
      <alignment vertical="center"/>
      <protection/>
    </xf>
    <xf numFmtId="40" fontId="67" fillId="0" borderId="43" xfId="52" applyNumberFormat="1" applyFont="1" applyFill="1" applyBorder="1" applyAlignment="1" applyProtection="1">
      <alignment vertical="center"/>
      <protection/>
    </xf>
    <xf numFmtId="40" fontId="67" fillId="0" borderId="44" xfId="52" applyNumberFormat="1" applyFont="1" applyFill="1" applyBorder="1" applyAlignment="1" applyProtection="1">
      <alignment vertical="center"/>
      <protection/>
    </xf>
    <xf numFmtId="40" fontId="67" fillId="0" borderId="45" xfId="52" applyNumberFormat="1" applyFont="1" applyFill="1" applyBorder="1" applyAlignment="1" applyProtection="1">
      <alignment vertical="center"/>
      <protection/>
    </xf>
    <xf numFmtId="40" fontId="67" fillId="0" borderId="53" xfId="52" applyNumberFormat="1" applyFont="1" applyFill="1" applyBorder="1" applyAlignment="1" applyProtection="1">
      <alignment vertical="center"/>
      <protection/>
    </xf>
    <xf numFmtId="40" fontId="67" fillId="0" borderId="54" xfId="52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0" fontId="67" fillId="4" borderId="43" xfId="52" applyNumberFormat="1" applyFont="1" applyFill="1" applyBorder="1" applyAlignment="1" applyProtection="1">
      <alignment vertical="center"/>
      <protection/>
    </xf>
    <xf numFmtId="40" fontId="67" fillId="4" borderId="44" xfId="52" applyNumberFormat="1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60" xfId="0" applyBorder="1" applyAlignment="1" applyProtection="1">
      <alignment horizontal="center" vertical="center"/>
      <protection/>
    </xf>
    <xf numFmtId="40" fontId="69" fillId="0" borderId="61" xfId="52" applyNumberFormat="1" applyFont="1" applyBorder="1" applyAlignment="1" applyProtection="1">
      <alignment vertical="center"/>
      <protection/>
    </xf>
    <xf numFmtId="40" fontId="67" fillId="4" borderId="61" xfId="52" applyNumberFormat="1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0" fillId="0" borderId="65" xfId="0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 applyProtection="1">
      <alignment vertical="center"/>
      <protection/>
    </xf>
    <xf numFmtId="0" fontId="0" fillId="0" borderId="49" xfId="0" applyBorder="1" applyAlignment="1">
      <alignment horizontal="center" vertical="center"/>
    </xf>
    <xf numFmtId="0" fontId="7" fillId="0" borderId="0" xfId="77" applyFont="1" applyAlignment="1">
      <alignment horizontal="right" vertical="center"/>
      <protection/>
    </xf>
    <xf numFmtId="0" fontId="7" fillId="0" borderId="0" xfId="77" applyFont="1" applyAlignment="1">
      <alignment vertical="center"/>
      <protection/>
    </xf>
    <xf numFmtId="0" fontId="67" fillId="0" borderId="49" xfId="0" applyFont="1" applyBorder="1" applyAlignment="1">
      <alignment horizontal="center" vertical="center"/>
    </xf>
    <xf numFmtId="0" fontId="67" fillId="0" borderId="4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227" fontId="67" fillId="0" borderId="49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24" fontId="67" fillId="0" borderId="66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68" fillId="0" borderId="66" xfId="0" applyFont="1" applyBorder="1" applyAlignment="1">
      <alignment horizontal="center" vertical="center"/>
    </xf>
    <xf numFmtId="40" fontId="5" fillId="0" borderId="66" xfId="52" applyNumberFormat="1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222" fontId="67" fillId="0" borderId="10" xfId="0" applyNumberFormat="1" applyFont="1" applyFill="1" applyBorder="1" applyAlignment="1">
      <alignment horizontal="center" vertical="center"/>
    </xf>
    <xf numFmtId="230" fontId="0" fillId="0" borderId="0" xfId="0" applyNumberFormat="1" applyFill="1" applyAlignment="1">
      <alignment vertical="center"/>
    </xf>
    <xf numFmtId="186" fontId="66" fillId="0" borderId="10" xfId="0" applyNumberFormat="1" applyFont="1" applyBorder="1" applyAlignment="1">
      <alignment horizontal="center" vertical="center"/>
    </xf>
    <xf numFmtId="194" fontId="67" fillId="0" borderId="0" xfId="52" applyNumberFormat="1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21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7" fontId="66" fillId="0" borderId="10" xfId="0" applyNumberFormat="1" applyFont="1" applyBorder="1" applyAlignment="1">
      <alignment horizontal="center" vertical="center"/>
    </xf>
    <xf numFmtId="188" fontId="67" fillId="0" borderId="10" xfId="52" applyNumberFormat="1" applyFont="1" applyBorder="1" applyAlignment="1">
      <alignment horizontal="center" vertical="center"/>
    </xf>
    <xf numFmtId="232" fontId="6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4" fontId="0" fillId="0" borderId="0" xfId="52" applyNumberFormat="1" applyFont="1" applyAlignment="1">
      <alignment vertical="center"/>
    </xf>
    <xf numFmtId="194" fontId="0" fillId="0" borderId="0" xfId="52" applyNumberFormat="1" applyFont="1" applyAlignment="1">
      <alignment horizontal="center" vertical="center"/>
    </xf>
    <xf numFmtId="216" fontId="67" fillId="0" borderId="0" xfId="0" applyNumberFormat="1" applyFont="1" applyAlignment="1">
      <alignment vertical="center"/>
    </xf>
    <xf numFmtId="40" fontId="75" fillId="0" borderId="49" xfId="52" applyNumberFormat="1" applyFont="1" applyBorder="1" applyAlignment="1">
      <alignment horizontal="center" vertical="center"/>
    </xf>
    <xf numFmtId="220" fontId="67" fillId="0" borderId="10" xfId="0" applyNumberFormat="1" applyFont="1" applyFill="1" applyBorder="1" applyAlignment="1">
      <alignment horizontal="center" vertical="center"/>
    </xf>
    <xf numFmtId="223" fontId="67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188" fontId="6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215" fontId="0" fillId="0" borderId="0" xfId="0" applyNumberFormat="1" applyFill="1" applyAlignment="1">
      <alignment vertical="center"/>
    </xf>
    <xf numFmtId="236" fontId="66" fillId="0" borderId="10" xfId="52" applyNumberFormat="1" applyFont="1" applyBorder="1" applyAlignment="1">
      <alignment horizontal="center" vertical="center"/>
    </xf>
    <xf numFmtId="222" fontId="67" fillId="0" borderId="0" xfId="0" applyNumberFormat="1" applyFont="1" applyFill="1" applyBorder="1" applyAlignment="1">
      <alignment horizontal="right" vertical="center"/>
    </xf>
    <xf numFmtId="40" fontId="67" fillId="0" borderId="0" xfId="52" applyNumberFormat="1" applyFont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40" xfId="0" applyFont="1" applyFill="1" applyBorder="1" applyAlignment="1">
      <alignment horizontal="right" vertical="center"/>
    </xf>
    <xf numFmtId="40" fontId="66" fillId="0" borderId="41" xfId="52" applyNumberFormat="1" applyFont="1" applyFill="1" applyBorder="1" applyAlignment="1">
      <alignment vertical="center"/>
    </xf>
    <xf numFmtId="0" fontId="66" fillId="0" borderId="42" xfId="0" applyFont="1" applyFill="1" applyBorder="1" applyAlignment="1">
      <alignment vertical="center"/>
    </xf>
    <xf numFmtId="237" fontId="6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179" fontId="69" fillId="0" borderId="25" xfId="0" applyNumberFormat="1" applyFont="1" applyFill="1" applyBorder="1" applyAlignment="1" applyProtection="1">
      <alignment vertical="center"/>
      <protection locked="0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206" fontId="69" fillId="0" borderId="26" xfId="0" applyNumberFormat="1" applyFont="1" applyFill="1" applyBorder="1" applyAlignment="1" applyProtection="1">
      <alignment vertical="center"/>
      <protection locked="0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183" fontId="69" fillId="0" borderId="25" xfId="0" applyNumberFormat="1" applyFont="1" applyFill="1" applyBorder="1" applyAlignment="1" applyProtection="1">
      <alignment vertical="center"/>
      <protection locked="0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18" fontId="74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229" fontId="69" fillId="0" borderId="26" xfId="0" applyNumberFormat="1" applyFont="1" applyFill="1" applyBorder="1" applyAlignment="1" applyProtection="1">
      <alignment vertical="center"/>
      <protection locked="0"/>
    </xf>
    <xf numFmtId="180" fontId="69" fillId="0" borderId="25" xfId="0" applyNumberFormat="1" applyFont="1" applyFill="1" applyBorder="1" applyAlignment="1" applyProtection="1">
      <alignment vertical="center"/>
      <protection locked="0"/>
    </xf>
    <xf numFmtId="194" fontId="69" fillId="0" borderId="26" xfId="52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66" fillId="0" borderId="26" xfId="0" applyFont="1" applyFill="1" applyBorder="1" applyAlignment="1">
      <alignment vertical="center"/>
    </xf>
    <xf numFmtId="221" fontId="67" fillId="0" borderId="49" xfId="52" applyNumberFormat="1" applyFont="1" applyFill="1" applyBorder="1" applyAlignment="1">
      <alignment vertical="center"/>
    </xf>
    <xf numFmtId="0" fontId="66" fillId="0" borderId="49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94" fontId="67" fillId="0" borderId="10" xfId="52" applyNumberFormat="1" applyFont="1" applyFill="1" applyBorder="1" applyAlignment="1">
      <alignment horizontal="center" vertical="center"/>
    </xf>
    <xf numFmtId="201" fontId="69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7" fillId="0" borderId="72" xfId="0" applyFont="1" applyBorder="1" applyAlignment="1">
      <alignment horizontal="center" vertical="center"/>
    </xf>
    <xf numFmtId="224" fontId="67" fillId="0" borderId="72" xfId="0" applyNumberFormat="1" applyFont="1" applyBorder="1" applyAlignment="1">
      <alignment horizontal="center" vertical="center"/>
    </xf>
    <xf numFmtId="40" fontId="67" fillId="4" borderId="16" xfId="52" applyNumberFormat="1" applyFont="1" applyFill="1" applyBorder="1" applyAlignment="1">
      <alignment horizontal="center" vertical="center"/>
    </xf>
    <xf numFmtId="40" fontId="67" fillId="4" borderId="17" xfId="52" applyNumberFormat="1" applyFont="1" applyFill="1" applyBorder="1" applyAlignment="1">
      <alignment horizontal="center" vertical="center"/>
    </xf>
    <xf numFmtId="40" fontId="67" fillId="4" borderId="19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27" fontId="75" fillId="0" borderId="24" xfId="0" applyNumberFormat="1" applyFont="1" applyBorder="1" applyAlignment="1">
      <alignment horizontal="center" vertical="center"/>
    </xf>
    <xf numFmtId="40" fontId="67" fillId="33" borderId="16" xfId="52" applyNumberFormat="1" applyFont="1" applyFill="1" applyBorder="1" applyAlignment="1">
      <alignment vertical="center"/>
    </xf>
    <xf numFmtId="40" fontId="67" fillId="33" borderId="17" xfId="52" applyNumberFormat="1" applyFont="1" applyFill="1" applyBorder="1" applyAlignment="1">
      <alignment vertical="center"/>
    </xf>
    <xf numFmtId="40" fontId="67" fillId="33" borderId="19" xfId="52" applyNumberFormat="1" applyFont="1" applyFill="1" applyBorder="1" applyAlignment="1">
      <alignment vertical="center"/>
    </xf>
    <xf numFmtId="40" fontId="0" fillId="0" borderId="15" xfId="52" applyNumberFormat="1" applyFont="1" applyBorder="1" applyAlignment="1">
      <alignment vertical="center"/>
    </xf>
    <xf numFmtId="40" fontId="0" fillId="0" borderId="11" xfId="52" applyNumberFormat="1" applyFont="1" applyBorder="1" applyAlignment="1">
      <alignment vertical="center"/>
    </xf>
    <xf numFmtId="40" fontId="0" fillId="0" borderId="14" xfId="52" applyNumberFormat="1" applyFont="1" applyBorder="1" applyAlignment="1">
      <alignment vertical="center"/>
    </xf>
    <xf numFmtId="40" fontId="67" fillId="4" borderId="53" xfId="52" applyNumberFormat="1" applyFont="1" applyFill="1" applyBorder="1" applyAlignment="1">
      <alignment horizontal="center" vertical="center"/>
    </xf>
    <xf numFmtId="40" fontId="0" fillId="4" borderId="73" xfId="52" applyNumberFormat="1" applyFont="1" applyFill="1" applyBorder="1" applyAlignment="1">
      <alignment horizontal="center" vertical="center"/>
    </xf>
    <xf numFmtId="40" fontId="0" fillId="4" borderId="74" xfId="52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239" fontId="12" fillId="0" borderId="49" xfId="0" applyNumberFormat="1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49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40" fontId="0" fillId="0" borderId="48" xfId="52" applyNumberFormat="1" applyFont="1" applyBorder="1" applyAlignment="1">
      <alignment vertical="center"/>
    </xf>
    <xf numFmtId="0" fontId="12" fillId="0" borderId="0" xfId="0" applyFont="1" applyBorder="1" applyAlignment="1" applyProtection="1">
      <alignment horizontal="right" vertical="center"/>
      <protection/>
    </xf>
    <xf numFmtId="40" fontId="76" fillId="0" borderId="0" xfId="0" applyNumberFormat="1" applyFont="1" applyAlignment="1">
      <alignment horizontal="left" vertical="center"/>
    </xf>
    <xf numFmtId="40" fontId="67" fillId="0" borderId="25" xfId="52" applyNumberFormat="1" applyFont="1" applyFill="1" applyBorder="1" applyAlignment="1">
      <alignment vertical="center"/>
    </xf>
    <xf numFmtId="40" fontId="67" fillId="0" borderId="40" xfId="52" applyNumberFormat="1" applyFont="1" applyFill="1" applyBorder="1" applyAlignment="1">
      <alignment vertical="center"/>
    </xf>
    <xf numFmtId="40" fontId="67" fillId="0" borderId="26" xfId="52" applyNumberFormat="1" applyFont="1" applyFill="1" applyBorder="1" applyAlignment="1">
      <alignment vertical="center"/>
    </xf>
    <xf numFmtId="240" fontId="6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15" fontId="5" fillId="0" borderId="0" xfId="52" applyNumberFormat="1" applyFont="1" applyBorder="1" applyAlignment="1">
      <alignment horizontal="center" vertical="center"/>
    </xf>
    <xf numFmtId="216" fontId="5" fillId="0" borderId="0" xfId="52" applyNumberFormat="1" applyFont="1" applyBorder="1" applyAlignment="1">
      <alignment horizontal="center" vertical="center"/>
    </xf>
    <xf numFmtId="189" fontId="0" fillId="0" borderId="27" xfId="0" applyNumberFormat="1" applyBorder="1" applyAlignment="1">
      <alignment vertical="center"/>
    </xf>
    <xf numFmtId="2" fontId="67" fillId="0" borderId="27" xfId="0" applyNumberFormat="1" applyFont="1" applyBorder="1" applyAlignment="1">
      <alignment horizontal="right" vertical="center"/>
    </xf>
    <xf numFmtId="234" fontId="67" fillId="0" borderId="27" xfId="0" applyNumberFormat="1" applyFont="1" applyBorder="1" applyAlignment="1">
      <alignment horizontal="center" vertical="center"/>
    </xf>
    <xf numFmtId="232" fontId="67" fillId="0" borderId="27" xfId="52" applyNumberFormat="1" applyFont="1" applyBorder="1" applyAlignment="1">
      <alignment vertical="center"/>
    </xf>
    <xf numFmtId="194" fontId="67" fillId="0" borderId="27" xfId="52" applyNumberFormat="1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235" fontId="67" fillId="0" borderId="10" xfId="0" applyNumberFormat="1" applyFont="1" applyBorder="1" applyAlignment="1">
      <alignment horizontal="center" vertical="center"/>
    </xf>
    <xf numFmtId="194" fontId="67" fillId="0" borderId="10" xfId="52" applyNumberFormat="1" applyFont="1" applyBorder="1" applyAlignment="1">
      <alignment vertical="center"/>
    </xf>
    <xf numFmtId="241" fontId="67" fillId="0" borderId="10" xfId="52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40" fontId="78" fillId="0" borderId="0" xfId="52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69" fillId="0" borderId="4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230" fontId="5" fillId="0" borderId="0" xfId="0" applyNumberFormat="1" applyFont="1" applyAlignment="1">
      <alignment horizontal="center" vertical="center"/>
    </xf>
    <xf numFmtId="215" fontId="5" fillId="0" borderId="0" xfId="0" applyNumberFormat="1" applyFont="1" applyAlignment="1">
      <alignment vertical="center"/>
    </xf>
    <xf numFmtId="216" fontId="5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195" fontId="78" fillId="0" borderId="10" xfId="0" applyNumberFormat="1" applyFont="1" applyBorder="1" applyAlignment="1">
      <alignment horizontal="center" vertical="center"/>
    </xf>
    <xf numFmtId="40" fontId="5" fillId="0" borderId="0" xfId="52" applyNumberFormat="1" applyFont="1" applyAlignment="1">
      <alignment vertical="center"/>
    </xf>
    <xf numFmtId="194" fontId="0" fillId="0" borderId="11" xfId="52" applyNumberFormat="1" applyFont="1" applyBorder="1" applyAlignment="1">
      <alignment vertical="center"/>
    </xf>
    <xf numFmtId="194" fontId="0" fillId="0" borderId="11" xfId="52" applyNumberFormat="1" applyFont="1" applyBorder="1" applyAlignment="1">
      <alignment horizontal="center" vertical="center"/>
    </xf>
    <xf numFmtId="0" fontId="0" fillId="0" borderId="75" xfId="0" applyBorder="1" applyAlignment="1" applyProtection="1">
      <alignment vertical="center"/>
      <protection/>
    </xf>
    <xf numFmtId="0" fontId="0" fillId="0" borderId="76" xfId="0" applyNumberFormat="1" applyFill="1" applyBorder="1" applyAlignment="1" applyProtection="1">
      <alignment horizontal="center" vertical="center"/>
      <protection/>
    </xf>
    <xf numFmtId="40" fontId="69" fillId="0" borderId="25" xfId="52" applyNumberFormat="1" applyFont="1" applyBorder="1" applyAlignment="1" applyProtection="1">
      <alignment vertical="center"/>
      <protection/>
    </xf>
    <xf numFmtId="40" fontId="69" fillId="0" borderId="40" xfId="52" applyNumberFormat="1" applyFont="1" applyBorder="1" applyAlignment="1" applyProtection="1">
      <alignment vertical="center"/>
      <protection/>
    </xf>
    <xf numFmtId="40" fontId="69" fillId="0" borderId="26" xfId="52" applyNumberFormat="1" applyFont="1" applyBorder="1" applyAlignment="1" applyProtection="1">
      <alignment vertical="center"/>
      <protection/>
    </xf>
    <xf numFmtId="40" fontId="69" fillId="0" borderId="12" xfId="52" applyNumberFormat="1" applyFont="1" applyBorder="1" applyAlignment="1" applyProtection="1">
      <alignment vertical="center"/>
      <protection/>
    </xf>
    <xf numFmtId="40" fontId="69" fillId="0" borderId="77" xfId="52" applyNumberFormat="1" applyFont="1" applyBorder="1" applyAlignment="1" applyProtection="1">
      <alignment vertical="center"/>
      <protection/>
    </xf>
    <xf numFmtId="0" fontId="0" fillId="0" borderId="78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217" fontId="66" fillId="0" borderId="41" xfId="0" applyNumberFormat="1" applyFont="1" applyFill="1" applyBorder="1" applyAlignment="1">
      <alignment horizontal="left" vertical="center"/>
    </xf>
    <xf numFmtId="238" fontId="78" fillId="0" borderId="79" xfId="52" applyNumberFormat="1" applyFont="1" applyFill="1" applyBorder="1" applyAlignment="1">
      <alignment vertical="center"/>
    </xf>
    <xf numFmtId="0" fontId="78" fillId="0" borderId="79" xfId="0" applyFont="1" applyFill="1" applyBorder="1" applyAlignment="1">
      <alignment vertical="center"/>
    </xf>
    <xf numFmtId="214" fontId="67" fillId="0" borderId="79" xfId="0" applyNumberFormat="1" applyFont="1" applyFill="1" applyBorder="1" applyAlignment="1">
      <alignment vertical="center"/>
    </xf>
    <xf numFmtId="231" fontId="66" fillId="0" borderId="79" xfId="0" applyNumberFormat="1" applyFont="1" applyFill="1" applyBorder="1" applyAlignment="1">
      <alignment horizontal="center" vertical="center"/>
    </xf>
    <xf numFmtId="186" fontId="66" fillId="0" borderId="79" xfId="0" applyNumberFormat="1" applyFont="1" applyFill="1" applyBorder="1" applyAlignment="1">
      <alignment vertical="center"/>
    </xf>
    <xf numFmtId="195" fontId="67" fillId="0" borderId="79" xfId="52" applyNumberFormat="1" applyFont="1" applyFill="1" applyBorder="1" applyAlignment="1">
      <alignment horizontal="center" vertical="center"/>
    </xf>
    <xf numFmtId="196" fontId="78" fillId="0" borderId="79" xfId="52" applyNumberFormat="1" applyFont="1" applyFill="1" applyBorder="1" applyAlignment="1">
      <alignment vertical="center"/>
    </xf>
    <xf numFmtId="196" fontId="67" fillId="0" borderId="10" xfId="52" applyNumberFormat="1" applyFont="1" applyFill="1" applyBorder="1" applyAlignment="1">
      <alignment horizontal="center" vertical="center"/>
    </xf>
    <xf numFmtId="195" fontId="78" fillId="0" borderId="79" xfId="52" applyNumberFormat="1" applyFont="1" applyFill="1" applyBorder="1" applyAlignment="1">
      <alignment horizontal="center" vertical="center"/>
    </xf>
    <xf numFmtId="196" fontId="78" fillId="0" borderId="79" xfId="52" applyNumberFormat="1" applyFont="1" applyFill="1" applyBorder="1" applyAlignment="1">
      <alignment horizontal="center" vertical="center"/>
    </xf>
    <xf numFmtId="0" fontId="7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96" fontId="78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38" fontId="0" fillId="0" borderId="0" xfId="52" applyFont="1" applyFill="1" applyAlignment="1">
      <alignment vertical="center"/>
    </xf>
    <xf numFmtId="243" fontId="6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202" fontId="66" fillId="0" borderId="0" xfId="52" applyNumberFormat="1" applyFont="1" applyBorder="1" applyAlignment="1">
      <alignment vertical="center"/>
    </xf>
    <xf numFmtId="0" fontId="67" fillId="0" borderId="81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224" fontId="67" fillId="0" borderId="81" xfId="0" applyNumberFormat="1" applyFont="1" applyBorder="1" applyAlignment="1">
      <alignment horizontal="center" vertical="center"/>
    </xf>
    <xf numFmtId="224" fontId="67" fillId="0" borderId="82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97" fontId="6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0" fontId="79" fillId="0" borderId="0" xfId="52" applyNumberFormat="1" applyFont="1" applyFill="1" applyBorder="1" applyAlignment="1">
      <alignment horizontal="center" vertical="center"/>
    </xf>
    <xf numFmtId="40" fontId="79" fillId="0" borderId="79" xfId="52" applyNumberFormat="1" applyFont="1" applyFill="1" applyBorder="1" applyAlignment="1">
      <alignment horizontal="center" vertical="center"/>
    </xf>
    <xf numFmtId="244" fontId="66" fillId="0" borderId="10" xfId="52" applyNumberFormat="1" applyFont="1" applyFill="1" applyBorder="1" applyAlignment="1">
      <alignment horizontal="right" vertical="center"/>
    </xf>
    <xf numFmtId="194" fontId="66" fillId="0" borderId="10" xfId="52" applyNumberFormat="1" applyFont="1" applyFill="1" applyBorder="1" applyAlignment="1">
      <alignment horizontal="center" vertical="center"/>
    </xf>
    <xf numFmtId="210" fontId="0" fillId="0" borderId="22" xfId="0" applyNumberFormat="1" applyBorder="1" applyAlignment="1">
      <alignment horizontal="center" vertical="center"/>
    </xf>
    <xf numFmtId="210" fontId="0" fillId="0" borderId="18" xfId="0" applyNumberFormat="1" applyBorder="1" applyAlignment="1">
      <alignment horizontal="center" vertical="center"/>
    </xf>
    <xf numFmtId="196" fontId="78" fillId="0" borderId="10" xfId="0" applyNumberFormat="1" applyFont="1" applyBorder="1" applyAlignment="1">
      <alignment horizontal="center" vertical="center"/>
    </xf>
    <xf numFmtId="196" fontId="78" fillId="0" borderId="0" xfId="52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219" fontId="67" fillId="0" borderId="10" xfId="0" applyNumberFormat="1" applyFont="1" applyBorder="1" applyAlignment="1">
      <alignment horizontal="center" vertical="center"/>
    </xf>
    <xf numFmtId="205" fontId="67" fillId="0" borderId="41" xfId="5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33" fontId="66" fillId="0" borderId="10" xfId="0" applyNumberFormat="1" applyFont="1" applyBorder="1" applyAlignment="1">
      <alignment horizontal="center" vertical="center"/>
    </xf>
    <xf numFmtId="195" fontId="78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2" fontId="66" fillId="0" borderId="10" xfId="52" applyNumberFormat="1" applyFont="1" applyBorder="1" applyAlignment="1">
      <alignment horizontal="center" vertical="center"/>
    </xf>
    <xf numFmtId="227" fontId="67" fillId="0" borderId="49" xfId="0" applyNumberFormat="1" applyFont="1" applyBorder="1" applyAlignment="1">
      <alignment horizontal="center" vertical="center"/>
    </xf>
    <xf numFmtId="40" fontId="0" fillId="0" borderId="76" xfId="52" applyNumberFormat="1" applyFont="1" applyBorder="1" applyAlignment="1">
      <alignment horizontal="center" vertical="center"/>
    </xf>
    <xf numFmtId="40" fontId="0" fillId="0" borderId="46" xfId="52" applyNumberFormat="1" applyFont="1" applyBorder="1" applyAlignment="1">
      <alignment horizontal="center" vertical="center"/>
    </xf>
    <xf numFmtId="40" fontId="0" fillId="0" borderId="88" xfId="52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0" fontId="0" fillId="0" borderId="81" xfId="52" applyNumberFormat="1" applyFont="1" applyFill="1" applyBorder="1" applyAlignment="1">
      <alignment horizontal="center" vertical="center"/>
    </xf>
    <xf numFmtId="40" fontId="0" fillId="0" borderId="82" xfId="52" applyNumberFormat="1" applyFont="1" applyFill="1" applyBorder="1" applyAlignment="1">
      <alignment horizontal="center" vertical="center"/>
    </xf>
    <xf numFmtId="40" fontId="0" fillId="0" borderId="72" xfId="52" applyNumberFormat="1" applyFont="1" applyFill="1" applyBorder="1" applyAlignment="1">
      <alignment horizontal="center" vertical="center"/>
    </xf>
    <xf numFmtId="198" fontId="6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0" fontId="0" fillId="0" borderId="84" xfId="52" applyNumberFormat="1" applyFont="1" applyBorder="1" applyAlignment="1">
      <alignment horizontal="center" vertical="center"/>
    </xf>
    <xf numFmtId="40" fontId="0" fillId="0" borderId="47" xfId="52" applyNumberFormat="1" applyFont="1" applyBorder="1" applyAlignment="1">
      <alignment horizontal="center" vertical="center"/>
    </xf>
    <xf numFmtId="40" fontId="0" fillId="0" borderId="86" xfId="52" applyNumberFormat="1" applyFont="1" applyBorder="1" applyAlignment="1">
      <alignment horizontal="center" vertical="center"/>
    </xf>
    <xf numFmtId="40" fontId="0" fillId="0" borderId="81" xfId="52" applyNumberFormat="1" applyFont="1" applyBorder="1" applyAlignment="1">
      <alignment horizontal="center" vertical="center"/>
    </xf>
    <xf numFmtId="40" fontId="0" fillId="0" borderId="82" xfId="52" applyNumberFormat="1" applyFont="1" applyBorder="1" applyAlignment="1">
      <alignment horizontal="center" vertical="center"/>
    </xf>
    <xf numFmtId="40" fontId="0" fillId="0" borderId="72" xfId="52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0" fontId="0" fillId="0" borderId="15" xfId="52" applyNumberFormat="1" applyFont="1" applyBorder="1" applyAlignment="1">
      <alignment horizontal="center" vertical="center"/>
    </xf>
    <xf numFmtId="40" fontId="0" fillId="0" borderId="11" xfId="52" applyNumberFormat="1" applyFont="1" applyBorder="1" applyAlignment="1">
      <alignment horizontal="center" vertical="center"/>
    </xf>
    <xf numFmtId="40" fontId="0" fillId="0" borderId="14" xfId="52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40" fontId="0" fillId="0" borderId="15" xfId="52" applyNumberFormat="1" applyFont="1" applyFill="1" applyBorder="1" applyAlignment="1">
      <alignment horizontal="center" vertical="center"/>
    </xf>
    <xf numFmtId="40" fontId="0" fillId="0" borderId="11" xfId="52" applyNumberFormat="1" applyFont="1" applyFill="1" applyBorder="1" applyAlignment="1">
      <alignment horizontal="center" vertical="center"/>
    </xf>
    <xf numFmtId="40" fontId="0" fillId="0" borderId="14" xfId="52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0" fontId="0" fillId="0" borderId="76" xfId="52" applyNumberFormat="1" applyFont="1" applyFill="1" applyBorder="1" applyAlignment="1">
      <alignment horizontal="center" vertical="center"/>
    </xf>
    <xf numFmtId="40" fontId="0" fillId="0" borderId="46" xfId="52" applyNumberFormat="1" applyFont="1" applyFill="1" applyBorder="1" applyAlignment="1">
      <alignment horizontal="center" vertical="center"/>
    </xf>
    <xf numFmtId="40" fontId="0" fillId="0" borderId="88" xfId="52" applyNumberFormat="1" applyFont="1" applyFill="1" applyBorder="1" applyAlignment="1">
      <alignment horizontal="center" vertical="center"/>
    </xf>
    <xf numFmtId="202" fontId="0" fillId="0" borderId="25" xfId="52" applyNumberFormat="1" applyFont="1" applyBorder="1" applyAlignment="1">
      <alignment horizontal="center" vertical="center"/>
    </xf>
    <xf numFmtId="202" fontId="0" fillId="0" borderId="67" xfId="52" applyNumberFormat="1" applyFont="1" applyBorder="1" applyAlignment="1">
      <alignment horizontal="center" vertical="center"/>
    </xf>
    <xf numFmtId="202" fontId="0" fillId="0" borderId="28" xfId="52" applyNumberFormat="1" applyFont="1" applyBorder="1" applyAlignment="1">
      <alignment horizontal="center" vertical="center"/>
    </xf>
    <xf numFmtId="202" fontId="0" fillId="0" borderId="40" xfId="52" applyNumberFormat="1" applyFont="1" applyBorder="1" applyAlignment="1">
      <alignment horizontal="center" vertical="center"/>
    </xf>
    <xf numFmtId="202" fontId="0" fillId="0" borderId="41" xfId="52" applyNumberFormat="1" applyFont="1" applyBorder="1" applyAlignment="1">
      <alignment horizontal="center" vertical="center"/>
    </xf>
    <xf numFmtId="202" fontId="0" fillId="0" borderId="42" xfId="5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2" fontId="0" fillId="0" borderId="26" xfId="52" applyNumberFormat="1" applyFont="1" applyBorder="1" applyAlignment="1">
      <alignment horizontal="center" vertical="center"/>
    </xf>
    <xf numFmtId="202" fontId="0" fillId="0" borderId="70" xfId="52" applyNumberFormat="1" applyFont="1" applyBorder="1" applyAlignment="1">
      <alignment horizontal="center" vertical="center"/>
    </xf>
    <xf numFmtId="202" fontId="0" fillId="0" borderId="29" xfId="52" applyNumberFormat="1" applyFont="1" applyBorder="1" applyAlignment="1">
      <alignment horizontal="center" vertical="center"/>
    </xf>
    <xf numFmtId="40" fontId="0" fillId="0" borderId="93" xfId="52" applyNumberFormat="1" applyFont="1" applyBorder="1" applyAlignment="1">
      <alignment horizontal="center" vertical="center"/>
    </xf>
    <xf numFmtId="40" fontId="0" fillId="0" borderId="94" xfId="52" applyNumberFormat="1" applyFont="1" applyBorder="1" applyAlignment="1">
      <alignment horizontal="center" vertical="center"/>
    </xf>
    <xf numFmtId="195" fontId="0" fillId="0" borderId="95" xfId="52" applyNumberFormat="1" applyFont="1" applyFill="1" applyBorder="1" applyAlignment="1">
      <alignment horizontal="center" vertical="center"/>
    </xf>
    <xf numFmtId="195" fontId="0" fillId="0" borderId="96" xfId="52" applyNumberFormat="1" applyFont="1" applyFill="1" applyBorder="1" applyAlignment="1">
      <alignment horizontal="center" vertical="center"/>
    </xf>
    <xf numFmtId="194" fontId="0" fillId="0" borderId="97" xfId="52" applyNumberFormat="1" applyFont="1" applyFill="1" applyBorder="1" applyAlignment="1">
      <alignment horizontal="center" vertical="center"/>
    </xf>
    <xf numFmtId="194" fontId="0" fillId="0" borderId="98" xfId="52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94" fontId="79" fillId="0" borderId="0" xfId="52" applyNumberFormat="1" applyFont="1" applyFill="1" applyBorder="1" applyAlignment="1">
      <alignment horizontal="center" vertical="center"/>
    </xf>
    <xf numFmtId="194" fontId="79" fillId="0" borderId="79" xfId="52" applyNumberFormat="1" applyFont="1" applyFill="1" applyBorder="1" applyAlignment="1">
      <alignment horizontal="center" vertical="center"/>
    </xf>
    <xf numFmtId="227" fontId="67" fillId="0" borderId="23" xfId="0" applyNumberFormat="1" applyFont="1" applyBorder="1" applyAlignment="1">
      <alignment horizontal="center" vertical="center"/>
    </xf>
    <xf numFmtId="227" fontId="67" fillId="0" borderId="8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99" fontId="6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213" fontId="67" fillId="0" borderId="10" xfId="0" applyNumberFormat="1" applyFont="1" applyBorder="1" applyAlignment="1">
      <alignment horizontal="center" vertical="center"/>
    </xf>
    <xf numFmtId="0" fontId="7" fillId="0" borderId="33" xfId="77" applyFont="1" applyFill="1" applyBorder="1" applyAlignment="1">
      <alignment horizontal="center" vertical="center"/>
      <protection/>
    </xf>
    <xf numFmtId="0" fontId="7" fillId="0" borderId="82" xfId="77" applyFont="1" applyFill="1" applyBorder="1" applyAlignment="1">
      <alignment horizontal="center" vertical="center"/>
      <protection/>
    </xf>
    <xf numFmtId="0" fontId="7" fillId="0" borderId="30" xfId="77" applyFont="1" applyFill="1" applyBorder="1" applyAlignment="1">
      <alignment horizontal="center" vertical="center"/>
      <protection/>
    </xf>
    <xf numFmtId="193" fontId="0" fillId="0" borderId="0" xfId="0" applyNumberFormat="1" applyFont="1" applyFill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25" fontId="80" fillId="0" borderId="66" xfId="5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0" fontId="0" fillId="0" borderId="76" xfId="52" applyNumberFormat="1" applyFont="1" applyFill="1" applyBorder="1" applyAlignment="1">
      <alignment horizontal="center" vertical="center"/>
    </xf>
    <xf numFmtId="40" fontId="0" fillId="0" borderId="46" xfId="52" applyNumberFormat="1" applyFont="1" applyFill="1" applyBorder="1" applyAlignment="1">
      <alignment horizontal="center" vertical="center"/>
    </xf>
    <xf numFmtId="40" fontId="0" fillId="0" borderId="88" xfId="52" applyNumberFormat="1" applyFont="1" applyFill="1" applyBorder="1" applyAlignment="1">
      <alignment horizontal="center" vertical="center"/>
    </xf>
    <xf numFmtId="40" fontId="0" fillId="0" borderId="30" xfId="52" applyNumberFormat="1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0" fontId="0" fillId="0" borderId="84" xfId="52" applyNumberFormat="1" applyFont="1" applyFill="1" applyBorder="1" applyAlignment="1">
      <alignment horizontal="center" vertical="center"/>
    </xf>
    <xf numFmtId="40" fontId="0" fillId="0" borderId="47" xfId="52" applyNumberFormat="1" applyFont="1" applyFill="1" applyBorder="1" applyAlignment="1">
      <alignment horizontal="center" vertical="center"/>
    </xf>
    <xf numFmtId="40" fontId="0" fillId="0" borderId="86" xfId="5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242" fontId="66" fillId="0" borderId="40" xfId="0" applyNumberFormat="1" applyFont="1" applyFill="1" applyBorder="1" applyAlignment="1">
      <alignment horizontal="center" vertical="center"/>
    </xf>
    <xf numFmtId="242" fontId="66" fillId="0" borderId="69" xfId="0" applyNumberFormat="1" applyFont="1" applyFill="1" applyBorder="1" applyAlignment="1">
      <alignment horizontal="center" vertical="center"/>
    </xf>
    <xf numFmtId="40" fontId="0" fillId="0" borderId="33" xfId="52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213" fontId="66" fillId="0" borderId="27" xfId="52" applyNumberFormat="1" applyFont="1" applyBorder="1" applyAlignment="1">
      <alignment horizontal="center" vertical="center"/>
    </xf>
    <xf numFmtId="188" fontId="66" fillId="0" borderId="10" xfId="0" applyNumberFormat="1" applyFont="1" applyBorder="1" applyAlignment="1">
      <alignment horizontal="center" vertical="center"/>
    </xf>
    <xf numFmtId="0" fontId="69" fillId="0" borderId="40" xfId="0" applyFont="1" applyFill="1" applyBorder="1" applyAlignment="1" applyProtection="1">
      <alignment horizontal="center" vertical="center"/>
      <protection locked="0"/>
    </xf>
    <xf numFmtId="0" fontId="69" fillId="0" borderId="41" xfId="0" applyFont="1" applyFill="1" applyBorder="1" applyAlignment="1" applyProtection="1">
      <alignment horizontal="center" vertical="center"/>
      <protection locked="0"/>
    </xf>
    <xf numFmtId="0" fontId="69" fillId="0" borderId="42" xfId="0" applyFont="1" applyFill="1" applyBorder="1" applyAlignment="1" applyProtection="1">
      <alignment horizontal="center" vertical="center"/>
      <protection locked="0"/>
    </xf>
    <xf numFmtId="185" fontId="0" fillId="0" borderId="40" xfId="0" applyNumberFormat="1" applyFill="1" applyBorder="1" applyAlignment="1">
      <alignment horizontal="center" vertical="center"/>
    </xf>
    <xf numFmtId="185" fontId="0" fillId="0" borderId="69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9" fillId="0" borderId="25" xfId="0" applyFont="1" applyFill="1" applyBorder="1" applyAlignment="1" applyProtection="1">
      <alignment horizontal="center" vertical="center"/>
      <protection locked="0"/>
    </xf>
    <xf numFmtId="0" fontId="69" fillId="0" borderId="68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vertical="center"/>
    </xf>
    <xf numFmtId="0" fontId="0" fillId="0" borderId="29" xfId="0" applyFill="1" applyBorder="1" applyAlignment="1">
      <alignment vertical="center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10" xfId="54"/>
    <cellStyle name="桁区切り 11" xfId="55"/>
    <cellStyle name="桁区切り 2" xfId="56"/>
    <cellStyle name="桁区切り 2 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桁区切り 9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10" xfId="75"/>
    <cellStyle name="標準 11" xfId="76"/>
    <cellStyle name="標準 12" xfId="77"/>
    <cellStyle name="標準 13" xfId="78"/>
    <cellStyle name="標準 2" xfId="79"/>
    <cellStyle name="標準 2 2" xfId="80"/>
    <cellStyle name="標準 3" xfId="81"/>
    <cellStyle name="標準 3 2" xfId="82"/>
    <cellStyle name="標準 4" xfId="83"/>
    <cellStyle name="標準 4 2" xfId="84"/>
    <cellStyle name="標準 5" xfId="85"/>
    <cellStyle name="標準 6" xfId="86"/>
    <cellStyle name="標準 7" xfId="87"/>
    <cellStyle name="標準 8" xfId="88"/>
    <cellStyle name="標準 9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19</xdr:row>
      <xdr:rowOff>171450</xdr:rowOff>
    </xdr:from>
    <xdr:to>
      <xdr:col>9</xdr:col>
      <xdr:colOff>0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4010025" y="3552825"/>
          <a:ext cx="2057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114300</xdr:rowOff>
    </xdr:from>
    <xdr:to>
      <xdr:col>10</xdr:col>
      <xdr:colOff>304800</xdr:colOff>
      <xdr:row>23</xdr:row>
      <xdr:rowOff>47625</xdr:rowOff>
    </xdr:to>
    <xdr:sp>
      <xdr:nvSpPr>
        <xdr:cNvPr id="2" name="1 つの角を切り取った四角形 5"/>
        <xdr:cNvSpPr>
          <a:spLocks/>
        </xdr:cNvSpPr>
      </xdr:nvSpPr>
      <xdr:spPr>
        <a:xfrm flipH="1">
          <a:off x="6896100" y="3495675"/>
          <a:ext cx="285750" cy="619125"/>
        </a:xfrm>
        <a:custGeom>
          <a:pathLst>
            <a:path h="624167" w="281377">
              <a:moveTo>
                <a:pt x="0" y="0"/>
              </a:moveTo>
              <a:lnTo>
                <a:pt x="234480" y="0"/>
              </a:lnTo>
              <a:lnTo>
                <a:pt x="281377" y="46897"/>
              </a:lnTo>
              <a:lnTo>
                <a:pt x="281377" y="624167"/>
              </a:lnTo>
              <a:lnTo>
                <a:pt x="0" y="624167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285750</xdr:colOff>
      <xdr:row>19</xdr:row>
      <xdr:rowOff>171450</xdr:rowOff>
    </xdr:from>
    <xdr:to>
      <xdr:col>10</xdr:col>
      <xdr:colOff>38100</xdr:colOff>
      <xdr:row>20</xdr:row>
      <xdr:rowOff>9525</xdr:rowOff>
    </xdr:to>
    <xdr:sp>
      <xdr:nvSpPr>
        <xdr:cNvPr id="3" name="直線コネクタ 8"/>
        <xdr:cNvSpPr>
          <a:spLocks/>
        </xdr:cNvSpPr>
      </xdr:nvSpPr>
      <xdr:spPr>
        <a:xfrm>
          <a:off x="4000500" y="3552825"/>
          <a:ext cx="2914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123825</xdr:rowOff>
    </xdr:from>
    <xdr:to>
      <xdr:col>10</xdr:col>
      <xdr:colOff>19050</xdr:colOff>
      <xdr:row>24</xdr:row>
      <xdr:rowOff>152400</xdr:rowOff>
    </xdr:to>
    <xdr:sp>
      <xdr:nvSpPr>
        <xdr:cNvPr id="4" name="フローチャート : 手操作入力 13"/>
        <xdr:cNvSpPr>
          <a:spLocks/>
        </xdr:cNvSpPr>
      </xdr:nvSpPr>
      <xdr:spPr>
        <a:xfrm flipH="1">
          <a:off x="6076950" y="3848100"/>
          <a:ext cx="819150" cy="542925"/>
        </a:xfrm>
        <a:prstGeom prst="flowChartManualInp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9525</xdr:rowOff>
    </xdr:from>
    <xdr:to>
      <xdr:col>9</xdr:col>
      <xdr:colOff>9525</xdr:colOff>
      <xdr:row>21</xdr:row>
      <xdr:rowOff>123825</xdr:rowOff>
    </xdr:to>
    <xdr:sp>
      <xdr:nvSpPr>
        <xdr:cNvPr id="5" name="直線コネクタ 7"/>
        <xdr:cNvSpPr>
          <a:spLocks/>
        </xdr:cNvSpPr>
      </xdr:nvSpPr>
      <xdr:spPr>
        <a:xfrm flipH="1" flipV="1">
          <a:off x="6067425" y="35623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6.625" style="0" customWidth="1"/>
    <col min="2" max="2" width="11.625" style="0" customWidth="1"/>
    <col min="3" max="4" width="9.625" style="0" customWidth="1"/>
    <col min="5" max="5" width="6.625" style="0" customWidth="1"/>
    <col min="6" max="6" width="4.625" style="0" customWidth="1"/>
    <col min="7" max="7" width="11.625" style="0" customWidth="1"/>
    <col min="8" max="9" width="9.625" style="0" customWidth="1"/>
    <col min="10" max="10" width="10.625" style="0" customWidth="1"/>
    <col min="11" max="11" width="4.625" style="0" customWidth="1"/>
    <col min="12" max="12" width="3.625" style="0" customWidth="1"/>
    <col min="13" max="13" width="10.625" style="0" customWidth="1"/>
    <col min="14" max="15" width="8.625" style="0" customWidth="1"/>
    <col min="16" max="17" width="6.625" style="0" customWidth="1"/>
    <col min="18" max="18" width="6.625" style="2" customWidth="1"/>
    <col min="19" max="19" width="6.625" style="17" customWidth="1"/>
    <col min="20" max="20" width="5.625" style="0" customWidth="1"/>
    <col min="21" max="22" width="4.625" style="0" customWidth="1"/>
    <col min="23" max="23" width="10.625" style="0" customWidth="1"/>
    <col min="24" max="24" width="6.625" style="0" customWidth="1"/>
    <col min="25" max="25" width="3.625" style="0" customWidth="1"/>
    <col min="27" max="37" width="6.625" style="0" customWidth="1"/>
  </cols>
  <sheetData>
    <row r="1" spans="1:27" ht="16.5" customHeight="1">
      <c r="A1" s="88" t="s">
        <v>158</v>
      </c>
      <c r="B1" s="88"/>
      <c r="C1" s="88"/>
      <c r="D1" s="88"/>
      <c r="E1" s="353" t="s">
        <v>286</v>
      </c>
      <c r="F1" s="88"/>
      <c r="G1" s="88"/>
      <c r="H1" s="88"/>
      <c r="I1" s="146" t="s">
        <v>172</v>
      </c>
      <c r="J1" s="88"/>
      <c r="K1" s="88"/>
      <c r="M1" t="s">
        <v>119</v>
      </c>
      <c r="AA1" s="128" t="s">
        <v>185</v>
      </c>
    </row>
    <row r="2" spans="6:27" ht="13.5">
      <c r="F2" s="147"/>
      <c r="G2" s="148" t="s">
        <v>162</v>
      </c>
      <c r="H2" s="296">
        <v>7</v>
      </c>
      <c r="I2" s="150"/>
      <c r="J2" s="147"/>
      <c r="M2" s="463" t="s">
        <v>88</v>
      </c>
      <c r="N2" s="194" t="s">
        <v>152</v>
      </c>
      <c r="O2" s="196" t="s">
        <v>89</v>
      </c>
      <c r="P2" s="507" t="s">
        <v>136</v>
      </c>
      <c r="Q2" s="535"/>
      <c r="R2" s="535"/>
      <c r="S2" s="518"/>
      <c r="T2" s="477" t="s">
        <v>153</v>
      </c>
      <c r="U2" s="478"/>
      <c r="V2" s="478"/>
      <c r="W2" s="422" t="s">
        <v>93</v>
      </c>
      <c r="X2" s="474"/>
      <c r="AA2" s="128" t="s">
        <v>186</v>
      </c>
    </row>
    <row r="3" spans="2:27" ht="13.5">
      <c r="B3" s="200" t="s">
        <v>174</v>
      </c>
      <c r="C3" s="200" t="s">
        <v>173</v>
      </c>
      <c r="D3" s="586" t="s">
        <v>157</v>
      </c>
      <c r="E3" s="587"/>
      <c r="F3" s="147"/>
      <c r="G3" s="581" t="s">
        <v>166</v>
      </c>
      <c r="H3" s="582"/>
      <c r="I3" s="583"/>
      <c r="J3" s="186" t="s">
        <v>43</v>
      </c>
      <c r="M3" s="464"/>
      <c r="O3" s="197"/>
      <c r="P3" s="466" t="s">
        <v>191</v>
      </c>
      <c r="Q3" s="468">
        <v>2</v>
      </c>
      <c r="R3" s="470">
        <v>4</v>
      </c>
      <c r="S3" s="472" t="s">
        <v>91</v>
      </c>
      <c r="T3" s="571" t="s">
        <v>92</v>
      </c>
      <c r="U3" s="529"/>
      <c r="V3" s="530"/>
      <c r="W3" s="475"/>
      <c r="X3" s="476"/>
      <c r="AA3" s="128" t="s">
        <v>187</v>
      </c>
    </row>
    <row r="4" spans="2:27" ht="15.75">
      <c r="B4" s="201" t="s">
        <v>164</v>
      </c>
      <c r="C4" s="201" t="s">
        <v>156</v>
      </c>
      <c r="D4" s="588"/>
      <c r="E4" s="589"/>
      <c r="F4" s="151"/>
      <c r="G4" s="152" t="s">
        <v>222</v>
      </c>
      <c r="H4" s="153"/>
      <c r="I4" s="154" t="s">
        <v>0</v>
      </c>
      <c r="J4" s="187" t="s">
        <v>183</v>
      </c>
      <c r="M4" s="465"/>
      <c r="N4" s="195" t="s">
        <v>128</v>
      </c>
      <c r="O4" s="198" t="s">
        <v>90</v>
      </c>
      <c r="P4" s="467"/>
      <c r="Q4" s="469"/>
      <c r="R4" s="471"/>
      <c r="S4" s="473"/>
      <c r="T4" s="99">
        <v>0.001</v>
      </c>
      <c r="U4" s="76">
        <v>0.01</v>
      </c>
      <c r="V4" s="90">
        <v>0.1</v>
      </c>
      <c r="W4" s="32" t="s">
        <v>143</v>
      </c>
      <c r="X4" s="36" t="s">
        <v>131</v>
      </c>
      <c r="AA4" s="128" t="s">
        <v>188</v>
      </c>
    </row>
    <row r="5" spans="2:27" ht="13.5">
      <c r="B5" s="14" t="s">
        <v>163</v>
      </c>
      <c r="C5" s="50" t="s">
        <v>134</v>
      </c>
      <c r="D5" s="147"/>
      <c r="E5" s="50"/>
      <c r="F5" s="147"/>
      <c r="G5" s="158">
        <v>3000</v>
      </c>
      <c r="H5" s="159">
        <v>27</v>
      </c>
      <c r="I5" s="85">
        <f>D6</f>
        <v>10</v>
      </c>
      <c r="J5" s="187" t="s">
        <v>100</v>
      </c>
      <c r="L5" s="497"/>
      <c r="M5" s="491" t="s">
        <v>225</v>
      </c>
      <c r="N5" s="494">
        <v>10</v>
      </c>
      <c r="O5" s="93">
        <v>100</v>
      </c>
      <c r="P5" s="100">
        <v>0.7</v>
      </c>
      <c r="Q5" s="23">
        <v>0.6</v>
      </c>
      <c r="R5" s="23">
        <v>0.46</v>
      </c>
      <c r="S5" s="101">
        <v>0.45</v>
      </c>
      <c r="T5" s="485">
        <v>1</v>
      </c>
      <c r="U5" s="488">
        <v>1</v>
      </c>
      <c r="V5" s="454">
        <v>1</v>
      </c>
      <c r="W5" s="30" t="s">
        <v>94</v>
      </c>
      <c r="X5" s="26">
        <f>ROUND((0.45+0.7)/2,2)</f>
        <v>0.58</v>
      </c>
      <c r="AA5" s="128" t="s">
        <v>189</v>
      </c>
    </row>
    <row r="6" spans="2:27" ht="13.5">
      <c r="B6" s="147"/>
      <c r="C6" s="155"/>
      <c r="D6" s="156">
        <v>10</v>
      </c>
      <c r="E6" s="157" t="s">
        <v>22</v>
      </c>
      <c r="F6" s="147"/>
      <c r="G6" s="293" t="s">
        <v>1</v>
      </c>
      <c r="H6" s="294">
        <f>G5/(I5+H5)</f>
        <v>81.08108108108108</v>
      </c>
      <c r="I6" s="295" t="s">
        <v>3</v>
      </c>
      <c r="J6" s="187" t="s">
        <v>101</v>
      </c>
      <c r="L6" s="497"/>
      <c r="M6" s="492"/>
      <c r="N6" s="495"/>
      <c r="O6" s="94">
        <v>200</v>
      </c>
      <c r="P6" s="102">
        <v>0.85</v>
      </c>
      <c r="Q6" s="21">
        <v>0.85</v>
      </c>
      <c r="R6" s="21">
        <v>0.73</v>
      </c>
      <c r="S6" s="103">
        <v>0.65</v>
      </c>
      <c r="T6" s="486"/>
      <c r="U6" s="489"/>
      <c r="V6" s="455"/>
      <c r="W6" s="31" t="s">
        <v>95</v>
      </c>
      <c r="X6" s="27">
        <f>ROUND((0.65+0.85)/2,2)</f>
        <v>0.75</v>
      </c>
      <c r="AA6" s="128" t="s">
        <v>190</v>
      </c>
    </row>
    <row r="7" spans="2:24" ht="13.5">
      <c r="B7" s="147" t="s">
        <v>27</v>
      </c>
      <c r="C7" s="147"/>
      <c r="D7" s="147"/>
      <c r="E7" s="147"/>
      <c r="F7" s="147"/>
      <c r="L7" s="497"/>
      <c r="M7" s="492"/>
      <c r="N7" s="496"/>
      <c r="O7" s="95">
        <v>300</v>
      </c>
      <c r="P7" s="104">
        <v>0.96</v>
      </c>
      <c r="Q7" s="25">
        <v>0.92</v>
      </c>
      <c r="R7" s="25">
        <v>0.84</v>
      </c>
      <c r="S7" s="60">
        <v>0.8</v>
      </c>
      <c r="T7" s="487"/>
      <c r="U7" s="490"/>
      <c r="V7" s="456"/>
      <c r="W7" s="32" t="s">
        <v>96</v>
      </c>
      <c r="X7" s="29">
        <f>ROUND((0.8+0.96)/2,2)</f>
        <v>0.88</v>
      </c>
    </row>
    <row r="8" spans="2:31" ht="13.5">
      <c r="B8" s="549" t="s">
        <v>24</v>
      </c>
      <c r="C8" s="192" t="s">
        <v>87</v>
      </c>
      <c r="D8" s="160" t="s">
        <v>168</v>
      </c>
      <c r="E8" s="78">
        <f>(0.8+0.9)/2</f>
        <v>0.8500000000000001</v>
      </c>
      <c r="F8" s="147"/>
      <c r="G8" s="581" t="s">
        <v>167</v>
      </c>
      <c r="H8" s="582"/>
      <c r="I8" s="582"/>
      <c r="J8" s="583"/>
      <c r="L8" s="497"/>
      <c r="M8" s="492"/>
      <c r="N8" s="494">
        <v>1.5</v>
      </c>
      <c r="O8" s="93">
        <v>100</v>
      </c>
      <c r="P8" s="100">
        <v>0.7</v>
      </c>
      <c r="Q8" s="23">
        <v>0.6</v>
      </c>
      <c r="R8" s="23">
        <v>0.46</v>
      </c>
      <c r="S8" s="101">
        <v>0.45</v>
      </c>
      <c r="T8" s="485">
        <v>0.9</v>
      </c>
      <c r="U8" s="488">
        <v>1</v>
      </c>
      <c r="V8" s="454">
        <v>1.1</v>
      </c>
      <c r="W8" s="30" t="s">
        <v>97</v>
      </c>
      <c r="X8" s="26">
        <f>ROUND((0.04+0.11)/2,2)</f>
        <v>0.08</v>
      </c>
      <c r="AA8" t="s">
        <v>49</v>
      </c>
      <c r="AD8" s="2"/>
      <c r="AE8" s="17"/>
    </row>
    <row r="9" spans="2:31" ht="15.75">
      <c r="B9" s="550"/>
      <c r="C9" s="192" t="s">
        <v>29</v>
      </c>
      <c r="D9" s="160" t="s">
        <v>33</v>
      </c>
      <c r="E9" s="78">
        <f>(0.7+0.95)/2</f>
        <v>0.825</v>
      </c>
      <c r="F9" s="147"/>
      <c r="G9" s="152" t="s">
        <v>223</v>
      </c>
      <c r="H9" s="153"/>
      <c r="I9" s="50" t="s">
        <v>165</v>
      </c>
      <c r="J9" s="154"/>
      <c r="L9" s="497"/>
      <c r="M9" s="492"/>
      <c r="N9" s="495"/>
      <c r="O9" s="94">
        <v>200</v>
      </c>
      <c r="P9" s="102">
        <v>0.85</v>
      </c>
      <c r="Q9" s="21">
        <v>0.85</v>
      </c>
      <c r="R9" s="21">
        <v>0.73</v>
      </c>
      <c r="S9" s="103">
        <v>0.65</v>
      </c>
      <c r="T9" s="486"/>
      <c r="U9" s="489"/>
      <c r="V9" s="455"/>
      <c r="W9" s="31" t="s">
        <v>98</v>
      </c>
      <c r="X9" s="27">
        <f>ROUND((0.09+0.33)/2,2)</f>
        <v>0.21</v>
      </c>
      <c r="AD9" s="2"/>
      <c r="AE9" s="17"/>
    </row>
    <row r="10" spans="2:33" ht="13.5">
      <c r="B10" s="550"/>
      <c r="C10" s="193" t="s">
        <v>30</v>
      </c>
      <c r="D10" s="160" t="s">
        <v>34</v>
      </c>
      <c r="E10" s="78">
        <f>(0.8+0.95)/2</f>
        <v>0.875</v>
      </c>
      <c r="F10" s="147"/>
      <c r="G10" s="161">
        <v>32.23</v>
      </c>
      <c r="H10" s="162">
        <v>-0.02</v>
      </c>
      <c r="I10" s="71">
        <f>D6/60</f>
        <v>0.16666666666666666</v>
      </c>
      <c r="J10" s="163">
        <v>0.59</v>
      </c>
      <c r="L10" s="497"/>
      <c r="M10" s="504"/>
      <c r="N10" s="496"/>
      <c r="O10" s="95">
        <v>300</v>
      </c>
      <c r="P10" s="104">
        <v>0.96</v>
      </c>
      <c r="Q10" s="25">
        <v>0.92</v>
      </c>
      <c r="R10" s="25">
        <v>0.84</v>
      </c>
      <c r="S10" s="60">
        <v>0.8</v>
      </c>
      <c r="T10" s="487"/>
      <c r="U10" s="490"/>
      <c r="V10" s="456"/>
      <c r="W10" s="32" t="s">
        <v>99</v>
      </c>
      <c r="X10" s="29">
        <f>ROUND((0.27+0.44)/2,2)</f>
        <v>0.36</v>
      </c>
      <c r="AA10" s="482" t="s">
        <v>50</v>
      </c>
      <c r="AB10" s="483"/>
      <c r="AC10" s="483"/>
      <c r="AD10" s="484"/>
      <c r="AE10" s="479" t="s">
        <v>51</v>
      </c>
      <c r="AF10" s="480"/>
      <c r="AG10" s="481"/>
    </row>
    <row r="11" spans="2:33" ht="13.5">
      <c r="B11" s="550"/>
      <c r="C11" s="193" t="s">
        <v>31</v>
      </c>
      <c r="D11" s="160" t="s">
        <v>35</v>
      </c>
      <c r="E11" s="78">
        <f>(0.7+0.85)/2</f>
        <v>0.7749999999999999</v>
      </c>
      <c r="F11" s="147"/>
      <c r="G11" s="164" t="s">
        <v>1</v>
      </c>
      <c r="H11" s="165">
        <f>G10/(I10^J10+H10)</f>
        <v>98.42761444415208</v>
      </c>
      <c r="I11" s="166" t="s">
        <v>3</v>
      </c>
      <c r="J11" s="167" t="s">
        <v>151</v>
      </c>
      <c r="L11" s="497"/>
      <c r="M11" s="491" t="s">
        <v>226</v>
      </c>
      <c r="N11" s="494">
        <v>10</v>
      </c>
      <c r="O11" s="93">
        <v>100</v>
      </c>
      <c r="P11" s="100">
        <v>0.6</v>
      </c>
      <c r="Q11" s="23">
        <v>0.5</v>
      </c>
      <c r="R11" s="23">
        <v>0.4</v>
      </c>
      <c r="S11" s="101">
        <v>0.3</v>
      </c>
      <c r="T11" s="485">
        <v>1.2</v>
      </c>
      <c r="U11" s="488">
        <v>1</v>
      </c>
      <c r="V11" s="454">
        <v>0.6</v>
      </c>
      <c r="W11" s="30" t="s">
        <v>102</v>
      </c>
      <c r="X11" s="26">
        <f>ROUND((0.18+0.72)/2,2)</f>
        <v>0.45</v>
      </c>
      <c r="AA11" s="556" t="s">
        <v>52</v>
      </c>
      <c r="AB11" s="557"/>
      <c r="AC11" s="121" t="s">
        <v>53</v>
      </c>
      <c r="AD11" s="122"/>
      <c r="AE11" s="123" t="s">
        <v>33</v>
      </c>
      <c r="AF11" s="124"/>
      <c r="AG11" s="125">
        <f>(0.7+0.95)/2</f>
        <v>0.825</v>
      </c>
    </row>
    <row r="12" spans="2:33" ht="13.5">
      <c r="B12" s="551"/>
      <c r="C12" s="193" t="s">
        <v>32</v>
      </c>
      <c r="D12" s="160" t="s">
        <v>28</v>
      </c>
      <c r="E12" s="78">
        <f>(0.75+0.85)/2</f>
        <v>0.8</v>
      </c>
      <c r="G12" s="168" t="s">
        <v>36</v>
      </c>
      <c r="H12" s="149">
        <v>0.013</v>
      </c>
      <c r="I12" s="168" t="s">
        <v>87</v>
      </c>
      <c r="J12" s="147"/>
      <c r="L12" s="497"/>
      <c r="M12" s="492"/>
      <c r="N12" s="495"/>
      <c r="O12" s="94">
        <v>200</v>
      </c>
      <c r="P12" s="102">
        <v>0.8</v>
      </c>
      <c r="Q12" s="21">
        <v>0.8</v>
      </c>
      <c r="R12" s="21">
        <v>0.7</v>
      </c>
      <c r="S12" s="103">
        <v>0.5</v>
      </c>
      <c r="T12" s="486"/>
      <c r="U12" s="489"/>
      <c r="V12" s="455"/>
      <c r="W12" s="31" t="s">
        <v>103</v>
      </c>
      <c r="X12" s="27">
        <f>ROUND((0.3+0.96)/2,2)</f>
        <v>0.63</v>
      </c>
      <c r="AA12" s="560"/>
      <c r="AB12" s="561"/>
      <c r="AC12" s="121" t="s">
        <v>54</v>
      </c>
      <c r="AD12" s="122"/>
      <c r="AE12" s="120" t="s">
        <v>55</v>
      </c>
      <c r="AF12" s="126"/>
      <c r="AG12" s="127">
        <f>(0.3+0.7)/2</f>
        <v>0.5</v>
      </c>
    </row>
    <row r="13" spans="12:33" ht="13.5">
      <c r="L13" s="497"/>
      <c r="M13" s="492"/>
      <c r="N13" s="496"/>
      <c r="O13" s="95">
        <v>300</v>
      </c>
      <c r="P13" s="104">
        <v>0.9</v>
      </c>
      <c r="Q13" s="25">
        <v>0.85</v>
      </c>
      <c r="R13" s="25">
        <v>0.75</v>
      </c>
      <c r="S13" s="60">
        <v>0.65</v>
      </c>
      <c r="T13" s="487"/>
      <c r="U13" s="490"/>
      <c r="V13" s="456"/>
      <c r="W13" s="32" t="s">
        <v>104</v>
      </c>
      <c r="X13" s="29">
        <f>ROUND((0.39+1)/2,2)</f>
        <v>0.7</v>
      </c>
      <c r="AA13" s="556" t="s">
        <v>56</v>
      </c>
      <c r="AB13" s="557"/>
      <c r="AC13" s="121" t="s">
        <v>57</v>
      </c>
      <c r="AD13" s="122"/>
      <c r="AE13" s="120" t="s">
        <v>58</v>
      </c>
      <c r="AF13" s="126"/>
      <c r="AG13" s="127">
        <f>(0.4+0.65)/2</f>
        <v>0.525</v>
      </c>
    </row>
    <row r="14" spans="1:33" ht="13.5">
      <c r="A14" s="449" t="s">
        <v>15</v>
      </c>
      <c r="B14" s="297" t="s">
        <v>2</v>
      </c>
      <c r="C14" s="298">
        <v>0.8500000000000001</v>
      </c>
      <c r="D14" s="299"/>
      <c r="E14" s="300"/>
      <c r="F14" s="590" t="s">
        <v>44</v>
      </c>
      <c r="G14" s="591"/>
      <c r="H14" s="312">
        <v>2.75</v>
      </c>
      <c r="I14" s="307" t="s">
        <v>4</v>
      </c>
      <c r="L14" s="497"/>
      <c r="M14" s="492"/>
      <c r="N14" s="494">
        <v>1.5</v>
      </c>
      <c r="O14" s="93">
        <v>100</v>
      </c>
      <c r="P14" s="100">
        <v>0.5</v>
      </c>
      <c r="Q14" s="23">
        <v>0.4</v>
      </c>
      <c r="R14" s="23">
        <v>0.3</v>
      </c>
      <c r="S14" s="101">
        <v>0.2</v>
      </c>
      <c r="T14" s="485">
        <v>0.95</v>
      </c>
      <c r="U14" s="488">
        <v>1</v>
      </c>
      <c r="V14" s="454">
        <v>1.05</v>
      </c>
      <c r="W14" s="30" t="s">
        <v>105</v>
      </c>
      <c r="X14" s="26">
        <f>ROUND((0.19+0.53)/2,2)</f>
        <v>0.36</v>
      </c>
      <c r="AA14" s="558"/>
      <c r="AB14" s="559"/>
      <c r="AC14" s="121" t="s">
        <v>59</v>
      </c>
      <c r="AD14" s="122"/>
      <c r="AE14" s="120" t="s">
        <v>60</v>
      </c>
      <c r="AF14" s="126"/>
      <c r="AG14" s="127">
        <f>(0.1+0.3)/2</f>
        <v>0.2</v>
      </c>
    </row>
    <row r="15" spans="1:33" ht="13.5">
      <c r="A15" s="450"/>
      <c r="B15" s="169" t="s">
        <v>5</v>
      </c>
      <c r="C15" s="170">
        <v>0.35</v>
      </c>
      <c r="D15" s="389">
        <f>C15*10</f>
        <v>3.5</v>
      </c>
      <c r="E15" s="301">
        <f>C15/100</f>
        <v>0.0034999999999999996</v>
      </c>
      <c r="F15" s="577" t="s">
        <v>7</v>
      </c>
      <c r="G15" s="578"/>
      <c r="H15" s="189">
        <v>2</v>
      </c>
      <c r="I15" s="308" t="s">
        <v>6</v>
      </c>
      <c r="L15" s="497"/>
      <c r="M15" s="492"/>
      <c r="N15" s="495"/>
      <c r="O15" s="94">
        <v>200</v>
      </c>
      <c r="P15" s="102">
        <v>0.6</v>
      </c>
      <c r="Q15" s="21">
        <v>0.52</v>
      </c>
      <c r="R15" s="21">
        <v>0.42</v>
      </c>
      <c r="S15" s="103">
        <v>0.28</v>
      </c>
      <c r="T15" s="486"/>
      <c r="U15" s="489"/>
      <c r="V15" s="455"/>
      <c r="W15" s="31" t="s">
        <v>106</v>
      </c>
      <c r="X15" s="27">
        <f>ROUND((0.27+0.63)/2,2)</f>
        <v>0.45</v>
      </c>
      <c r="AA15" s="558"/>
      <c r="AB15" s="559"/>
      <c r="AC15" s="121" t="s">
        <v>61</v>
      </c>
      <c r="AD15" s="122"/>
      <c r="AE15" s="120" t="s">
        <v>35</v>
      </c>
      <c r="AF15" s="126"/>
      <c r="AG15" s="127">
        <f>(0.7+0.85)/2</f>
        <v>0.7749999999999999</v>
      </c>
    </row>
    <row r="16" spans="1:33" ht="13.5">
      <c r="A16" s="451"/>
      <c r="B16" s="302" t="s">
        <v>8</v>
      </c>
      <c r="C16" s="303">
        <v>80</v>
      </c>
      <c r="D16" s="304" t="s">
        <v>23</v>
      </c>
      <c r="E16" s="305"/>
      <c r="F16" s="594" t="s">
        <v>133</v>
      </c>
      <c r="G16" s="595"/>
      <c r="H16" s="313">
        <v>0.15</v>
      </c>
      <c r="I16" s="305" t="s">
        <v>4</v>
      </c>
      <c r="L16" s="497"/>
      <c r="M16" s="493"/>
      <c r="N16" s="576"/>
      <c r="O16" s="96">
        <v>300</v>
      </c>
      <c r="P16" s="105">
        <v>0.7</v>
      </c>
      <c r="Q16" s="66">
        <v>0.6</v>
      </c>
      <c r="R16" s="66">
        <v>0.5</v>
      </c>
      <c r="S16" s="106">
        <v>0.38</v>
      </c>
      <c r="T16" s="486"/>
      <c r="U16" s="489"/>
      <c r="V16" s="455"/>
      <c r="W16" s="65" t="s">
        <v>107</v>
      </c>
      <c r="X16" s="67">
        <f>ROUND((0.36+0.74)/2,2)</f>
        <v>0.55</v>
      </c>
      <c r="AA16" s="560"/>
      <c r="AB16" s="561"/>
      <c r="AC16" s="121" t="s">
        <v>62</v>
      </c>
      <c r="AD16" s="122"/>
      <c r="AE16" s="120" t="s">
        <v>63</v>
      </c>
      <c r="AF16" s="126"/>
      <c r="AG16" s="127">
        <f>(0.5+0.75)/2</f>
        <v>0.625</v>
      </c>
    </row>
    <row r="17" spans="1:33" ht="13.5">
      <c r="A17" s="449" t="s">
        <v>14</v>
      </c>
      <c r="B17" s="297" t="s">
        <v>9</v>
      </c>
      <c r="C17" s="306">
        <v>2.75</v>
      </c>
      <c r="D17" s="307" t="s">
        <v>4</v>
      </c>
      <c r="E17" s="187" t="s">
        <v>22</v>
      </c>
      <c r="G17" s="314" t="s">
        <v>88</v>
      </c>
      <c r="H17" s="592" t="s">
        <v>43</v>
      </c>
      <c r="I17" s="593"/>
      <c r="J17" s="63" t="s">
        <v>253</v>
      </c>
      <c r="L17" s="497"/>
      <c r="M17" s="498" t="s">
        <v>282</v>
      </c>
      <c r="N17" s="501">
        <v>10</v>
      </c>
      <c r="O17" s="93">
        <v>100</v>
      </c>
      <c r="P17" s="100">
        <v>0.6</v>
      </c>
      <c r="Q17" s="74">
        <v>0.5</v>
      </c>
      <c r="R17" s="23">
        <v>0.4</v>
      </c>
      <c r="S17" s="101">
        <v>0.366</v>
      </c>
      <c r="T17" s="568">
        <v>1.04</v>
      </c>
      <c r="U17" s="458">
        <v>1</v>
      </c>
      <c r="V17" s="562">
        <v>0.92</v>
      </c>
      <c r="W17" s="30" t="s">
        <v>102</v>
      </c>
      <c r="X17" s="49">
        <f>ROUND((0.18+0.72)/2,2)</f>
        <v>0.45</v>
      </c>
      <c r="AA17" s="556" t="s">
        <v>64</v>
      </c>
      <c r="AB17" s="557"/>
      <c r="AC17" s="121" t="s">
        <v>65</v>
      </c>
      <c r="AD17" s="122"/>
      <c r="AE17" s="120" t="s">
        <v>66</v>
      </c>
      <c r="AF17" s="126"/>
      <c r="AG17" s="127">
        <f>(0.05+0.1)/2</f>
        <v>0.07500000000000001</v>
      </c>
    </row>
    <row r="18" spans="1:33" ht="13.5">
      <c r="A18" s="450"/>
      <c r="B18" s="169" t="s">
        <v>10</v>
      </c>
      <c r="C18" s="171">
        <f>H12</f>
        <v>0.013</v>
      </c>
      <c r="D18" s="308"/>
      <c r="E18" s="375" t="s">
        <v>254</v>
      </c>
      <c r="F18" s="147"/>
      <c r="G18" s="315" t="s">
        <v>215</v>
      </c>
      <c r="H18" s="574">
        <f>G32+E31</f>
        <v>0.055</v>
      </c>
      <c r="I18" s="575"/>
      <c r="J18" s="188" t="s">
        <v>26</v>
      </c>
      <c r="L18" s="497"/>
      <c r="M18" s="499"/>
      <c r="N18" s="502"/>
      <c r="O18" s="97">
        <v>200</v>
      </c>
      <c r="P18" s="107">
        <v>0.85</v>
      </c>
      <c r="Q18" s="47">
        <v>0.83</v>
      </c>
      <c r="R18" s="21">
        <v>0.7</v>
      </c>
      <c r="S18" s="108">
        <v>0.62</v>
      </c>
      <c r="T18" s="569"/>
      <c r="U18" s="459"/>
      <c r="V18" s="563"/>
      <c r="W18" s="31" t="s">
        <v>103</v>
      </c>
      <c r="X18" s="48">
        <f>ROUND((0.3+0.96)/2,2)</f>
        <v>0.63</v>
      </c>
      <c r="AA18" s="558"/>
      <c r="AB18" s="559"/>
      <c r="AC18" s="121" t="s">
        <v>67</v>
      </c>
      <c r="AD18" s="122"/>
      <c r="AE18" s="120" t="s">
        <v>68</v>
      </c>
      <c r="AF18" s="126"/>
      <c r="AG18" s="127">
        <f>(0.1+0.15)/2</f>
        <v>0.125</v>
      </c>
    </row>
    <row r="19" spans="1:33" ht="15.75">
      <c r="A19" s="450"/>
      <c r="B19" s="572" t="s">
        <v>11</v>
      </c>
      <c r="C19" s="199">
        <v>0.365</v>
      </c>
      <c r="D19" s="309">
        <v>0.42</v>
      </c>
      <c r="E19" s="63" t="s">
        <v>272</v>
      </c>
      <c r="F19" s="50"/>
      <c r="G19" s="316" t="s">
        <v>192</v>
      </c>
      <c r="H19" s="317">
        <f>C19*D19*1000</f>
        <v>153.29999999999998</v>
      </c>
      <c r="I19" s="305" t="s">
        <v>25</v>
      </c>
      <c r="J19" s="175" t="s">
        <v>150</v>
      </c>
      <c r="L19" s="497"/>
      <c r="M19" s="499"/>
      <c r="N19" s="503"/>
      <c r="O19" s="95">
        <v>300</v>
      </c>
      <c r="P19" s="104">
        <v>0.95</v>
      </c>
      <c r="Q19" s="75">
        <v>0.9</v>
      </c>
      <c r="R19" s="25">
        <v>0.8</v>
      </c>
      <c r="S19" s="60">
        <v>0.75</v>
      </c>
      <c r="T19" s="570"/>
      <c r="U19" s="460"/>
      <c r="V19" s="564"/>
      <c r="W19" s="32" t="s">
        <v>104</v>
      </c>
      <c r="X19" s="77">
        <f>ROUND((0.39+1)/2,2)</f>
        <v>0.7</v>
      </c>
      <c r="AA19" s="560"/>
      <c r="AB19" s="561"/>
      <c r="AC19" s="121" t="s">
        <v>69</v>
      </c>
      <c r="AD19" s="122"/>
      <c r="AE19" s="120" t="s">
        <v>70</v>
      </c>
      <c r="AF19" s="126"/>
      <c r="AG19" s="127">
        <f>(0.15+0.2)/2</f>
        <v>0.175</v>
      </c>
    </row>
    <row r="20" spans="1:33" ht="13.5">
      <c r="A20" s="450"/>
      <c r="B20" s="573"/>
      <c r="C20" s="584" t="s">
        <v>170</v>
      </c>
      <c r="D20" s="585"/>
      <c r="H20" s="172">
        <f>H14</f>
        <v>2.75</v>
      </c>
      <c r="I20" s="173">
        <f>C17</f>
        <v>2.75</v>
      </c>
      <c r="L20" s="497"/>
      <c r="M20" s="499"/>
      <c r="N20" s="494">
        <v>1.5</v>
      </c>
      <c r="O20" s="93">
        <v>100</v>
      </c>
      <c r="P20" s="100">
        <v>0.45</v>
      </c>
      <c r="Q20" s="23">
        <v>0.38</v>
      </c>
      <c r="R20" s="23">
        <v>0.3</v>
      </c>
      <c r="S20" s="101">
        <v>0.18</v>
      </c>
      <c r="T20" s="485">
        <v>0.92</v>
      </c>
      <c r="U20" s="458">
        <v>1</v>
      </c>
      <c r="V20" s="509">
        <v>1.05</v>
      </c>
      <c r="W20" s="30" t="s">
        <v>105</v>
      </c>
      <c r="X20" s="26">
        <f>ROUND((0.19+0.53)/2,2)</f>
        <v>0.36</v>
      </c>
      <c r="AA20" s="556" t="s">
        <v>71</v>
      </c>
      <c r="AB20" s="557"/>
      <c r="AC20" s="121" t="s">
        <v>65</v>
      </c>
      <c r="AD20" s="122"/>
      <c r="AE20" s="120" t="s">
        <v>72</v>
      </c>
      <c r="AF20" s="126"/>
      <c r="AG20" s="127">
        <f>(0.13+0.17)/2</f>
        <v>0.15000000000000002</v>
      </c>
    </row>
    <row r="21" spans="1:33" ht="13.5">
      <c r="A21" s="451"/>
      <c r="B21" s="310" t="s">
        <v>141</v>
      </c>
      <c r="C21" s="311">
        <v>2</v>
      </c>
      <c r="D21" s="305" t="s">
        <v>6</v>
      </c>
      <c r="E21" s="552">
        <f>C15</f>
        <v>0.35</v>
      </c>
      <c r="F21" s="552"/>
      <c r="G21" s="552"/>
      <c r="I21" s="373">
        <f>G30</f>
        <v>0.048</v>
      </c>
      <c r="J21" s="264">
        <f>D30</f>
        <v>0.055</v>
      </c>
      <c r="L21" s="497"/>
      <c r="M21" s="499"/>
      <c r="N21" s="495"/>
      <c r="O21" s="94">
        <v>200</v>
      </c>
      <c r="P21" s="109">
        <v>0.55</v>
      </c>
      <c r="Q21" s="21">
        <v>0.5</v>
      </c>
      <c r="R21" s="21">
        <v>0.4</v>
      </c>
      <c r="S21" s="103">
        <v>0.28</v>
      </c>
      <c r="T21" s="486"/>
      <c r="U21" s="459"/>
      <c r="V21" s="510"/>
      <c r="W21" s="31" t="s">
        <v>106</v>
      </c>
      <c r="X21" s="48">
        <f>ROUND((0.27+0.63)/2,2)</f>
        <v>0.45</v>
      </c>
      <c r="AA21" s="558"/>
      <c r="AB21" s="559"/>
      <c r="AC21" s="121" t="s">
        <v>67</v>
      </c>
      <c r="AD21" s="122"/>
      <c r="AE21" s="120" t="s">
        <v>73</v>
      </c>
      <c r="AF21" s="126"/>
      <c r="AG21" s="127">
        <f>(0.18+0.22)/2</f>
        <v>0.2</v>
      </c>
    </row>
    <row r="22" spans="5:33" ht="13.5">
      <c r="E22" s="147"/>
      <c r="F22" s="147"/>
      <c r="G22" s="147"/>
      <c r="H22" s="191">
        <f>H15</f>
        <v>2</v>
      </c>
      <c r="I22" s="147" t="s">
        <v>6</v>
      </c>
      <c r="J22" s="374">
        <f>I30</f>
        <v>0.007</v>
      </c>
      <c r="L22" s="497"/>
      <c r="M22" s="500"/>
      <c r="N22" s="496"/>
      <c r="O22" s="95">
        <v>300</v>
      </c>
      <c r="P22" s="104">
        <v>0.65</v>
      </c>
      <c r="Q22" s="25">
        <v>0.55</v>
      </c>
      <c r="R22" s="25">
        <v>0.45</v>
      </c>
      <c r="S22" s="60">
        <v>0.38</v>
      </c>
      <c r="T22" s="487"/>
      <c r="U22" s="460"/>
      <c r="V22" s="511"/>
      <c r="W22" s="32" t="s">
        <v>107</v>
      </c>
      <c r="X22" s="29">
        <f>ROUND((0.36+0.74)/2,2)</f>
        <v>0.55</v>
      </c>
      <c r="AA22" s="560"/>
      <c r="AB22" s="561"/>
      <c r="AC22" s="121" t="s">
        <v>69</v>
      </c>
      <c r="AD22" s="122"/>
      <c r="AE22" s="120" t="s">
        <v>74</v>
      </c>
      <c r="AF22" s="126"/>
      <c r="AG22" s="127">
        <f>(0.25+0.35)/2</f>
        <v>0.3</v>
      </c>
    </row>
    <row r="23" spans="2:33" ht="13.5">
      <c r="B23" s="202" t="s">
        <v>171</v>
      </c>
      <c r="C23" s="147"/>
      <c r="D23" s="147"/>
      <c r="J23" s="190">
        <f>C21</f>
        <v>2</v>
      </c>
      <c r="L23" s="497"/>
      <c r="M23" s="566" t="s">
        <v>227</v>
      </c>
      <c r="N23" s="565">
        <v>10</v>
      </c>
      <c r="O23" s="98">
        <v>200</v>
      </c>
      <c r="P23" s="110">
        <v>0.85</v>
      </c>
      <c r="Q23" s="69">
        <v>0.85</v>
      </c>
      <c r="R23" s="69">
        <v>0.76</v>
      </c>
      <c r="S23" s="111">
        <v>0.65</v>
      </c>
      <c r="T23" s="486">
        <v>1.01</v>
      </c>
      <c r="U23" s="489">
        <v>1</v>
      </c>
      <c r="V23" s="455">
        <v>0.95</v>
      </c>
      <c r="W23" s="68" t="s">
        <v>108</v>
      </c>
      <c r="X23" s="70">
        <f>ROUND((0.62+0.86)/2,2)</f>
        <v>0.74</v>
      </c>
      <c r="AA23" s="567" t="s">
        <v>75</v>
      </c>
      <c r="AB23" s="567"/>
      <c r="AC23" s="121"/>
      <c r="AD23" s="122"/>
      <c r="AE23" s="120" t="s">
        <v>76</v>
      </c>
      <c r="AF23" s="126"/>
      <c r="AG23" s="127">
        <f>(0.75+0.95)/2</f>
        <v>0.85</v>
      </c>
    </row>
    <row r="24" spans="2:33" ht="13.5">
      <c r="B24" s="287" t="s">
        <v>253</v>
      </c>
      <c r="C24" s="370" t="s">
        <v>22</v>
      </c>
      <c r="D24" s="318">
        <f>IF(C24="時間",H11,H6)</f>
        <v>81.08108108108108</v>
      </c>
      <c r="E24" s="319" t="s">
        <v>3</v>
      </c>
      <c r="F24" s="147"/>
      <c r="G24" s="147"/>
      <c r="H24" s="269" t="s">
        <v>201</v>
      </c>
      <c r="I24" s="270">
        <f>H20-J24</f>
        <v>2.385</v>
      </c>
      <c r="J24" s="174">
        <f>C19</f>
        <v>0.365</v>
      </c>
      <c r="L24" s="497"/>
      <c r="M24" s="492"/>
      <c r="N24" s="495"/>
      <c r="O24" s="94">
        <v>400</v>
      </c>
      <c r="P24" s="102">
        <v>1</v>
      </c>
      <c r="Q24" s="21">
        <v>0.95</v>
      </c>
      <c r="R24" s="21">
        <v>0.85</v>
      </c>
      <c r="S24" s="103">
        <v>0.75</v>
      </c>
      <c r="T24" s="486"/>
      <c r="U24" s="489"/>
      <c r="V24" s="455"/>
      <c r="W24" s="31" t="s">
        <v>109</v>
      </c>
      <c r="X24" s="27">
        <f>ROUND((0.71+1)/2,2)</f>
        <v>0.86</v>
      </c>
      <c r="AA24" s="567" t="s">
        <v>77</v>
      </c>
      <c r="AB24" s="567"/>
      <c r="AC24" s="121"/>
      <c r="AD24" s="122"/>
      <c r="AE24" s="120" t="s">
        <v>78</v>
      </c>
      <c r="AF24" s="126"/>
      <c r="AG24" s="127">
        <f>(0.2+0.4)/2</f>
        <v>0.30000000000000004</v>
      </c>
    </row>
    <row r="25" spans="5:33" ht="13.5">
      <c r="E25" s="147"/>
      <c r="F25" s="147"/>
      <c r="G25" s="147"/>
      <c r="J25" s="147"/>
      <c r="L25" s="497"/>
      <c r="M25" s="492"/>
      <c r="N25" s="496"/>
      <c r="O25" s="95">
        <v>600</v>
      </c>
      <c r="P25" s="104">
        <v>1</v>
      </c>
      <c r="Q25" s="25">
        <v>1</v>
      </c>
      <c r="R25" s="25">
        <v>0.85</v>
      </c>
      <c r="S25" s="60">
        <v>0.8</v>
      </c>
      <c r="T25" s="487"/>
      <c r="U25" s="490"/>
      <c r="V25" s="456"/>
      <c r="W25" s="32" t="s">
        <v>110</v>
      </c>
      <c r="X25" s="29">
        <f>ROUND((0.76+1)/2,2)</f>
        <v>0.88</v>
      </c>
      <c r="AA25" s="567" t="s">
        <v>79</v>
      </c>
      <c r="AB25" s="567"/>
      <c r="AC25" s="121"/>
      <c r="AD25" s="122"/>
      <c r="AE25" s="120" t="s">
        <v>80</v>
      </c>
      <c r="AF25" s="126"/>
      <c r="AG25" s="127">
        <f>(0.1+0.25)/2</f>
        <v>0.175</v>
      </c>
    </row>
    <row r="26" spans="2:33" ht="15.75">
      <c r="B26" s="3" t="s">
        <v>12</v>
      </c>
      <c r="E26" s="268" t="s">
        <v>242</v>
      </c>
      <c r="I26" s="147"/>
      <c r="L26" s="497"/>
      <c r="M26" s="492"/>
      <c r="N26" s="494">
        <v>1.5</v>
      </c>
      <c r="O26" s="93">
        <v>200</v>
      </c>
      <c r="P26" s="100">
        <v>0.5</v>
      </c>
      <c r="Q26" s="23">
        <v>0.4</v>
      </c>
      <c r="R26" s="23">
        <v>0.28</v>
      </c>
      <c r="S26" s="101">
        <v>0.22</v>
      </c>
      <c r="T26" s="485">
        <v>0.78</v>
      </c>
      <c r="U26" s="488">
        <v>1</v>
      </c>
      <c r="V26" s="454">
        <v>1.4</v>
      </c>
      <c r="W26" s="30" t="s">
        <v>111</v>
      </c>
      <c r="X26" s="26">
        <f>ROUND((0.17+0.7)/2,2)</f>
        <v>0.44</v>
      </c>
      <c r="AA26" s="567" t="s">
        <v>81</v>
      </c>
      <c r="AB26" s="567"/>
      <c r="AC26" s="121"/>
      <c r="AD26" s="122"/>
      <c r="AE26" s="120" t="s">
        <v>78</v>
      </c>
      <c r="AF26" s="126"/>
      <c r="AG26" s="127">
        <f>(0.2+0.4)/2</f>
        <v>0.30000000000000004</v>
      </c>
    </row>
    <row r="27" spans="2:33" ht="15.75">
      <c r="B27" s="448" t="s">
        <v>274</v>
      </c>
      <c r="C27" s="448"/>
      <c r="D27" s="203" t="s">
        <v>159</v>
      </c>
      <c r="E27" s="462" t="s">
        <v>160</v>
      </c>
      <c r="F27" s="462"/>
      <c r="G27" s="16" t="s">
        <v>161</v>
      </c>
      <c r="H27" s="353" t="s">
        <v>241</v>
      </c>
      <c r="L27" s="497"/>
      <c r="M27" s="492"/>
      <c r="N27" s="495"/>
      <c r="O27" s="94">
        <v>400</v>
      </c>
      <c r="P27" s="102">
        <v>0.6</v>
      </c>
      <c r="Q27" s="21">
        <v>0.5</v>
      </c>
      <c r="R27" s="21">
        <v>0.36</v>
      </c>
      <c r="S27" s="103">
        <v>0.32</v>
      </c>
      <c r="T27" s="486"/>
      <c r="U27" s="489"/>
      <c r="V27" s="455"/>
      <c r="W27" s="31" t="s">
        <v>112</v>
      </c>
      <c r="X27" s="27">
        <f>ROUND((0.25+0.84)/2,2)</f>
        <v>0.55</v>
      </c>
      <c r="AA27" s="567" t="s">
        <v>82</v>
      </c>
      <c r="AB27" s="567"/>
      <c r="AC27" s="121"/>
      <c r="AD27" s="122"/>
      <c r="AE27" s="120" t="s">
        <v>83</v>
      </c>
      <c r="AF27" s="126"/>
      <c r="AG27" s="127">
        <f>(0.4+0.6)/2</f>
        <v>0.5</v>
      </c>
    </row>
    <row r="28" spans="1:33" ht="15.75" customHeight="1">
      <c r="A28" s="8" t="s">
        <v>19</v>
      </c>
      <c r="B28" s="452">
        <f>1/(3.6*10^3)</f>
        <v>0.0002777777777777778</v>
      </c>
      <c r="C28" s="452"/>
      <c r="D28" s="204">
        <f>C14</f>
        <v>0.8500000000000001</v>
      </c>
      <c r="E28" s="461">
        <f>D24</f>
        <v>81.08108108108108</v>
      </c>
      <c r="F28" s="461"/>
      <c r="G28" s="205">
        <f>H14</f>
        <v>2.75</v>
      </c>
      <c r="H28" s="390">
        <f>ROUND(B28*D28*E28*G28,4)</f>
        <v>0.0526</v>
      </c>
      <c r="I28" s="391" t="s">
        <v>237</v>
      </c>
      <c r="L28" s="497"/>
      <c r="M28" s="504"/>
      <c r="N28" s="496"/>
      <c r="O28" s="95">
        <v>600</v>
      </c>
      <c r="P28" s="104">
        <v>0.68</v>
      </c>
      <c r="Q28" s="25">
        <v>0.55</v>
      </c>
      <c r="R28" s="25">
        <v>0.42</v>
      </c>
      <c r="S28" s="60">
        <v>0.36</v>
      </c>
      <c r="T28" s="487"/>
      <c r="U28" s="490"/>
      <c r="V28" s="456"/>
      <c r="W28" s="32" t="s">
        <v>113</v>
      </c>
      <c r="X28" s="29">
        <f>ROUND((0.28+0.95)/2,2)</f>
        <v>0.62</v>
      </c>
      <c r="AA28" s="567" t="s">
        <v>84</v>
      </c>
      <c r="AB28" s="567"/>
      <c r="AC28" s="121"/>
      <c r="AD28" s="122"/>
      <c r="AE28" s="120" t="s">
        <v>85</v>
      </c>
      <c r="AF28" s="126"/>
      <c r="AG28" s="127">
        <f>(0.7+0.8)/2</f>
        <v>0.75</v>
      </c>
    </row>
    <row r="29" spans="3:33" ht="13.5">
      <c r="C29" s="4"/>
      <c r="D29" s="4"/>
      <c r="E29" s="371"/>
      <c r="F29" s="4"/>
      <c r="G29" s="4"/>
      <c r="H29" s="4"/>
      <c r="M29" s="2" t="s">
        <v>114</v>
      </c>
      <c r="N29" t="s">
        <v>115</v>
      </c>
      <c r="R29" s="2" t="s">
        <v>116</v>
      </c>
      <c r="S29" s="17" t="s">
        <v>117</v>
      </c>
      <c r="AA29" s="567" t="s">
        <v>86</v>
      </c>
      <c r="AB29" s="567"/>
      <c r="AC29" s="121"/>
      <c r="AD29" s="122"/>
      <c r="AE29" s="120" t="s">
        <v>60</v>
      </c>
      <c r="AF29" s="119"/>
      <c r="AG29" s="127">
        <f>(0.1+0.3)/2</f>
        <v>0.2</v>
      </c>
    </row>
    <row r="30" spans="2:37" ht="13.5" customHeight="1">
      <c r="B30" s="3" t="s">
        <v>13</v>
      </c>
      <c r="C30" s="2" t="s">
        <v>275</v>
      </c>
      <c r="D30" s="372">
        <f>G30+I30</f>
        <v>0.055</v>
      </c>
      <c r="E30" s="408" t="s">
        <v>276</v>
      </c>
      <c r="F30" s="408"/>
      <c r="G30" s="354">
        <f>ROUND((H15/100)*I24,3)</f>
        <v>0.048</v>
      </c>
      <c r="H30" s="2" t="s">
        <v>277</v>
      </c>
      <c r="I30" s="355">
        <f>ROUND((C21/100)*C19,3)</f>
        <v>0.007</v>
      </c>
      <c r="N30" s="112">
        <f>IF(N31="縦仕切",1,IF(N31="横仕切",2,IF(N31="混合形",3,IF(N31="格子形",4,""))))</f>
        <v>1</v>
      </c>
      <c r="S30" s="17" t="s">
        <v>280</v>
      </c>
      <c r="AK30" s="129"/>
    </row>
    <row r="31" spans="1:37" ht="13.5" customHeight="1">
      <c r="A31" s="2" t="s">
        <v>207</v>
      </c>
      <c r="B31" s="555" t="s">
        <v>16</v>
      </c>
      <c r="C31" s="267" t="s">
        <v>203</v>
      </c>
      <c r="D31" s="271"/>
      <c r="E31" s="580">
        <f>I30</f>
        <v>0.007</v>
      </c>
      <c r="F31" s="580"/>
      <c r="G31" s="272">
        <f>C19</f>
        <v>0.365</v>
      </c>
      <c r="H31" s="273">
        <f>C19</f>
        <v>0.365</v>
      </c>
      <c r="I31" s="274">
        <f>G30</f>
        <v>0.048</v>
      </c>
      <c r="J31" s="266">
        <f>ROUND(1/2*E31*G31+H31*I31,3)</f>
        <v>0.019</v>
      </c>
      <c r="M31" s="250" t="s">
        <v>178</v>
      </c>
      <c r="N31" s="253" t="str">
        <f>H17</f>
        <v>縦仕切</v>
      </c>
      <c r="O31" s="254">
        <f>H19</f>
        <v>153.29999999999998</v>
      </c>
      <c r="P31" s="207" t="s">
        <v>25</v>
      </c>
      <c r="Q31" s="250" t="s">
        <v>175</v>
      </c>
      <c r="R31" s="280">
        <f>I39</f>
        <v>2.4902</v>
      </c>
      <c r="S31" s="457" t="s">
        <v>177</v>
      </c>
      <c r="T31" s="457"/>
      <c r="U31" s="453">
        <f>H15</f>
        <v>2</v>
      </c>
      <c r="V31" s="453"/>
      <c r="W31" s="255" t="s">
        <v>176</v>
      </c>
      <c r="X31" s="256">
        <f>C21</f>
        <v>2</v>
      </c>
      <c r="AA31" s="230" t="s">
        <v>193</v>
      </c>
      <c r="AB31" s="231"/>
      <c r="AC31" s="231"/>
      <c r="AD31" s="231"/>
      <c r="AE31" s="231"/>
      <c r="AF31" s="231"/>
      <c r="AG31" s="231"/>
      <c r="AH31" s="231"/>
      <c r="AI31" s="231"/>
      <c r="AJ31" s="231"/>
      <c r="AK31" s="232"/>
    </row>
    <row r="32" spans="1:37" ht="15.75">
      <c r="A32" s="2" t="s">
        <v>208</v>
      </c>
      <c r="B32" s="542"/>
      <c r="C32" s="86" t="s">
        <v>202</v>
      </c>
      <c r="D32" s="271"/>
      <c r="E32" s="9" t="s">
        <v>18</v>
      </c>
      <c r="F32" s="9"/>
      <c r="G32" s="10">
        <f>G30</f>
        <v>0.048</v>
      </c>
      <c r="H32" s="12">
        <f>I24</f>
        <v>2.385</v>
      </c>
      <c r="I32" s="265">
        <f>ROUND(1/2*G32*H32,3)</f>
        <v>0.057</v>
      </c>
      <c r="J32" s="392">
        <f>J31+I32</f>
        <v>0.076</v>
      </c>
      <c r="K32" s="64" t="s">
        <v>155</v>
      </c>
      <c r="M32" s="257" t="s">
        <v>5</v>
      </c>
      <c r="N32" s="258">
        <f>C15</f>
        <v>0.35</v>
      </c>
      <c r="O32" s="259"/>
      <c r="P32" s="257" t="s">
        <v>179</v>
      </c>
      <c r="Q32" s="260">
        <f>IF(O31&lt;100,100,IF(O31&lt;200,100,IF(O31&lt;300,200,IF(O31&lt;400,300,IF(O31&lt;600,400,600)))))</f>
        <v>100</v>
      </c>
      <c r="R32" s="257" t="s">
        <v>180</v>
      </c>
      <c r="S32" s="260">
        <f>IF(R31&lt;1,1,IF(R31&lt;2,1,IF(R31&lt;4,2,IF(R31&lt;8,4,8))))</f>
        <v>2</v>
      </c>
      <c r="T32" s="261" t="s">
        <v>182</v>
      </c>
      <c r="U32" s="554">
        <f>IF(X31&lt;1.6,1.5,10)</f>
        <v>10</v>
      </c>
      <c r="V32" s="554"/>
      <c r="W32" s="262" t="s">
        <v>181</v>
      </c>
      <c r="X32" s="260">
        <f>IF(N32&lt;0.1,0.1,IF(N32&lt;1,0.1,IF(N32&lt;10,1,10)))</f>
        <v>0.1</v>
      </c>
      <c r="AA32" s="233"/>
      <c r="AB32" s="214">
        <f>IF(R31&lt;1,1,IF(R31&lt;2,1,IF(R31&lt;4,2,IF(R31&lt;8,3,4))))</f>
        <v>2</v>
      </c>
      <c r="AC32" s="226" t="s">
        <v>196</v>
      </c>
      <c r="AD32" s="226"/>
      <c r="AE32" s="226"/>
      <c r="AF32" s="214">
        <f>IF(R31&lt;1,1,IF(R31&lt;2,2,IF(R31&lt;4,3,4)))</f>
        <v>3</v>
      </c>
      <c r="AG32" s="226" t="s">
        <v>196</v>
      </c>
      <c r="AI32" s="214" t="s">
        <v>184</v>
      </c>
      <c r="AJ32" s="213">
        <f>R31-AB33</f>
        <v>0.4902000000000002</v>
      </c>
      <c r="AK32" s="234"/>
    </row>
    <row r="33" spans="1:37" ht="15.75">
      <c r="A33" s="2" t="s">
        <v>207</v>
      </c>
      <c r="B33" s="541" t="s">
        <v>17</v>
      </c>
      <c r="C33" s="356" t="s">
        <v>205</v>
      </c>
      <c r="D33" s="357"/>
      <c r="E33" s="579">
        <f>C19^2</f>
        <v>0.13322499999999998</v>
      </c>
      <c r="F33" s="579"/>
      <c r="G33" s="358">
        <f>I30^2</f>
        <v>4.9000000000000005E-05</v>
      </c>
      <c r="H33" s="359">
        <f>D30</f>
        <v>0.055</v>
      </c>
      <c r="I33" s="360">
        <f>SQRT(E33+G33)+H33</f>
        <v>0.4200671171168392</v>
      </c>
      <c r="J33" t="s">
        <v>200</v>
      </c>
      <c r="O33" s="215"/>
      <c r="P33" s="215"/>
      <c r="Q33" s="215"/>
      <c r="R33" s="345"/>
      <c r="S33" s="346"/>
      <c r="T33" s="215"/>
      <c r="U33" s="215"/>
      <c r="V33" s="215"/>
      <c r="W33" s="215"/>
      <c r="AA33" s="242"/>
      <c r="AB33" s="214">
        <f>IF(R31&lt;1,1,IF(R31&lt;2,1,IF(R31&lt;4,2,IF(R31&lt;8,4,8))))</f>
        <v>2</v>
      </c>
      <c r="AC33" t="s">
        <v>197</v>
      </c>
      <c r="AD33" s="226"/>
      <c r="AE33" s="226"/>
      <c r="AF33" s="214">
        <f>IF(R31&lt;1,1,IF(R31&lt;2,2,IF(R31&lt;4,4,8.01)))</f>
        <v>4</v>
      </c>
      <c r="AG33" t="s">
        <v>197</v>
      </c>
      <c r="AJ33" s="226"/>
      <c r="AK33" s="234"/>
    </row>
    <row r="34" spans="1:37" ht="15.75" customHeight="1">
      <c r="A34" s="2" t="s">
        <v>208</v>
      </c>
      <c r="B34" s="542"/>
      <c r="C34" s="361" t="s">
        <v>206</v>
      </c>
      <c r="D34" s="271"/>
      <c r="E34" s="548">
        <f>I24^2</f>
        <v>5.688224999999999</v>
      </c>
      <c r="F34" s="548"/>
      <c r="G34" s="362">
        <f>G30^2</f>
        <v>0.002304</v>
      </c>
      <c r="H34" s="363">
        <f>SQRT(E34+G34)</f>
        <v>2.3854829699664593</v>
      </c>
      <c r="I34" s="6" t="s">
        <v>243</v>
      </c>
      <c r="J34" s="393">
        <f>H34+I33</f>
        <v>2.8055500870832986</v>
      </c>
      <c r="M34" s="347" t="s">
        <v>184</v>
      </c>
      <c r="N34" s="348">
        <f>R31-P34</f>
        <v>0.4902000000000002</v>
      </c>
      <c r="O34" s="340" t="s">
        <v>232</v>
      </c>
      <c r="P34" s="341">
        <f>AB33</f>
        <v>2</v>
      </c>
      <c r="Q34" s="341">
        <f>AF33</f>
        <v>4</v>
      </c>
      <c r="R34" s="342" t="s">
        <v>233</v>
      </c>
      <c r="S34" s="343" t="s">
        <v>230</v>
      </c>
      <c r="U34" s="255"/>
      <c r="V34" s="344" t="s">
        <v>229</v>
      </c>
      <c r="W34" s="342" t="s">
        <v>230</v>
      </c>
      <c r="AA34" s="233"/>
      <c r="AB34" s="214">
        <v>100</v>
      </c>
      <c r="AC34" s="214">
        <v>200</v>
      </c>
      <c r="AD34" s="214">
        <v>300</v>
      </c>
      <c r="AE34" s="226"/>
      <c r="AF34" s="214">
        <v>100</v>
      </c>
      <c r="AG34" s="214">
        <v>200</v>
      </c>
      <c r="AH34" s="214">
        <v>300</v>
      </c>
      <c r="AI34" s="214">
        <v>100</v>
      </c>
      <c r="AJ34" s="214">
        <v>200</v>
      </c>
      <c r="AK34" s="235">
        <v>300</v>
      </c>
    </row>
    <row r="35" spans="2:37" ht="13.5" customHeight="1">
      <c r="B35" s="6" t="s">
        <v>20</v>
      </c>
      <c r="C35" s="275" t="s">
        <v>21</v>
      </c>
      <c r="D35" s="271"/>
      <c r="E35" s="7">
        <f>J32</f>
        <v>0.076</v>
      </c>
      <c r="F35" s="11" t="s">
        <v>37</v>
      </c>
      <c r="G35" s="12">
        <f>J34</f>
        <v>2.8055500870832986</v>
      </c>
      <c r="H35" s="394">
        <f>ROUND(E35/G35,3)</f>
        <v>0.027</v>
      </c>
      <c r="I35" s="62" t="s">
        <v>4</v>
      </c>
      <c r="M35" s="543" t="s">
        <v>149</v>
      </c>
      <c r="N35" s="412">
        <f>H19</f>
        <v>153.29999999999998</v>
      </c>
      <c r="O35" s="24">
        <v>100</v>
      </c>
      <c r="P35" s="334">
        <f>IF($N$30=1,AB35,IF($N$30=2,AB36,IF($N$30=3,AB37,AB38)))</f>
        <v>0.6</v>
      </c>
      <c r="Q35" s="334">
        <f>IF($N$30=1,AF35,IF($N$30=2,AF36,IF($N$30=3,AF37,AF38)))</f>
        <v>0.46</v>
      </c>
      <c r="R35" s="331">
        <f>(Q35-P35)/(Q34-P34)*N34+P35</f>
        <v>0.565686</v>
      </c>
      <c r="S35" s="337">
        <f>IF(N35&lt;O35,R35,IF(N35&lt;O36,(R36-R35)/(200-100)*(N35-O35)+R35,IF(N35&lt;O37,(R37-R36)/(300-200)*(N35-O36)+R36,IF(N35&gt;O37,R37))))</f>
        <v>0.7015487659999999</v>
      </c>
      <c r="T35" s="416" t="s">
        <v>144</v>
      </c>
      <c r="U35" s="417"/>
      <c r="V35" s="131">
        <f>IF($N$30=1,AB56,IF($N$30=2,AB57,IF($N$30=3,AB58,AB59)))</f>
        <v>0.58</v>
      </c>
      <c r="W35" s="326">
        <f>IF(N35&lt;O35,V35,IF(N35&lt;O36,(V36-V35)/(200-100)*(N35-O35)+V35,IF(N35&lt;O37,(V37-V36)/(300-200)*(N35-O36)+V36,IF(N35&gt;O37,V37))))</f>
        <v>0.6706099999999999</v>
      </c>
      <c r="AA35" s="233">
        <v>1</v>
      </c>
      <c r="AB35" s="216">
        <f>IF(AND($N$30=1,$U$32=10),VLOOKUP(AB34,$O$5:$S$7,1+AB32,TRUE),IF($U$32=1.5,VLOOKUP(AB34,$O$8:$S$10,1+AB32,TRUE),""))</f>
        <v>0.6</v>
      </c>
      <c r="AC35" s="217">
        <f>IF(AND($N$30=1,$U$32=10),VLOOKUP(AC34,$O$5:$S$7,1+AB32,TRUE),IF($U$32=1.5,VLOOKUP(AC34,$O$8:$S$10,1+AB32,TRUE),""))</f>
        <v>0.85</v>
      </c>
      <c r="AD35" s="218">
        <f>IF(AND($N$30=1,$U$32=10),VLOOKUP(AD34,$O$5:$S$7,1+AB32,TRUE),IF($U$32=1.5,VLOOKUP(AD34,$O$8:$S$10,1+AB32,TRUE),""))</f>
        <v>0.92</v>
      </c>
      <c r="AE35" s="226">
        <v>1</v>
      </c>
      <c r="AF35" s="216">
        <f>IF(AND($N$30=1,$U$32=10),VLOOKUP(AF34,$O$5:$S$7,1+AF32,TRUE),IF($U$32=1.5,VLOOKUP(AF34,$O$8:$S$10,1+AF32,TRUE),""))</f>
        <v>0.46</v>
      </c>
      <c r="AG35" s="217">
        <f>IF(AND($N$30=1,$U$32=10),VLOOKUP(AG34,$O$5:$S$7,1+AF32,TRUE),IF($U$32=1.5,VLOOKUP(AG34,$O$8:$S$10,1+AF32,TRUE),""))</f>
        <v>0.73</v>
      </c>
      <c r="AH35" s="218">
        <f>IF(AND($N$30=1,$U$32=10),VLOOKUP(AH34,$O$5:$S$7,1+AF32,TRUE),IF($U$32=1.5,VLOOKUP(AH34,$O$8:$S$10,1+AF32,TRUE),""))</f>
        <v>0.84</v>
      </c>
      <c r="AI35" s="219">
        <f>IF($N$30=1,(AF35-AB35)/($AF$33-$AB$33)*$AJ$32+AB35,"")</f>
        <v>0.565686</v>
      </c>
      <c r="AJ35" s="220">
        <f>IF($N$30=1,(AG35-AC35)/($AF$33-$AB$33)*$AJ$32+AC35,"")</f>
        <v>0.820588</v>
      </c>
      <c r="AK35" s="236">
        <f>IF($N$30=1,(AH35-AD35)/($AF$33-$AB$33)*$AJ$32+AD35,"")</f>
        <v>0.900392</v>
      </c>
    </row>
    <row r="36" spans="2:37" ht="15.75">
      <c r="B36" s="285" t="s">
        <v>244</v>
      </c>
      <c r="C36" s="4"/>
      <c r="D36" s="388" t="s">
        <v>279</v>
      </c>
      <c r="E36" s="284" t="s">
        <v>278</v>
      </c>
      <c r="F36" s="368"/>
      <c r="G36" s="206"/>
      <c r="H36" s="2" t="s">
        <v>239</v>
      </c>
      <c r="I36" s="45" t="s">
        <v>238</v>
      </c>
      <c r="J36" s="366" t="str">
        <f>IF(H37&lt;0.6,"流速小さい",IF(H37&gt;1.5,"流速大きい","OK"))</f>
        <v>流速小さい</v>
      </c>
      <c r="M36" s="544"/>
      <c r="N36" s="413"/>
      <c r="O36" s="18">
        <v>200</v>
      </c>
      <c r="P36" s="335">
        <f>IF($N$30=1,AC35,IF($N$30=2,AC36,IF($N$30=3,AC37,AC38)))</f>
        <v>0.85</v>
      </c>
      <c r="Q36" s="335">
        <f>IF($N$30=1,AG35,IF($N$30=2,AG36,IF($N$30=3,AG37,AG38)))</f>
        <v>0.73</v>
      </c>
      <c r="R36" s="332">
        <f>(Q36-P36)/(Q34-P34)*N34+P36</f>
        <v>0.820588</v>
      </c>
      <c r="S36" s="338">
        <f>IF(N35&lt;O36,"",IF(N35&lt;O37,(R37-R36)/(200-100)*(N35-O36)+R36,""))</f>
      </c>
      <c r="T36" s="418"/>
      <c r="U36" s="419"/>
      <c r="V36" s="184">
        <f>IF($N$30=1,AC56,IF($N$30=2,AC57,IF($N$30=3,AC58,AC59)))</f>
        <v>0.75</v>
      </c>
      <c r="W36" s="327">
        <f>IF(N35&lt;O36,"",IF(N35&lt;O37,(V37-V36)/(200-100)*(N35-O37)+V36,""))</f>
      </c>
      <c r="AA36" s="233">
        <v>2</v>
      </c>
      <c r="AB36" s="216">
        <f>IF(AND($N$30=2,$U$32=10),VLOOKUP(AB34,$O$11:$S$13,1+AB32,TRUE),IF(U32=1.5,VLOOKUP(AB34,$O$14:$S$16,1+AB32,TRUE),""))</f>
      </c>
      <c r="AC36" s="217">
        <f>IF(AND($N$30=2,$U$32=10),VLOOKUP(AC34,$O$11:$S$13,1+AB32,TRUE),IF(V32=1.5,VLOOKUP(AC34,$O$14:$S$16,1+AB32,TRUE),""))</f>
      </c>
      <c r="AD36" s="218">
        <f>IF(AND($N$30=2,$U$32=10),VLOOKUP(AD34,$O$11:$S$13,1+AB32,TRUE),IF(W32=1.5,VLOOKUP(AD34,$O$14:$S$16,1+AB32,TRUE),""))</f>
      </c>
      <c r="AE36" s="226">
        <v>2</v>
      </c>
      <c r="AF36" s="216">
        <f>IF(AND($N$30=2,$U$32=10),VLOOKUP(AF34,$O$11:$S$13,1+AF32,TRUE),IF($U$32=1.5,VLOOKUP(AF34,$O$14:$S$16,1+AF32,TRUE),""))</f>
      </c>
      <c r="AG36" s="217">
        <f>IF(AND($N$30=2,$U$32=10),VLOOKUP(AG34,$O$11:$S$13,1+AF32,TRUE),IF($U$32=1.5,VLOOKUP(AG34,$O$14:$S$16,1+AF32,TRUE),""))</f>
      </c>
      <c r="AH36" s="218">
        <f>IF(AND($N$30=2,$U$32=10),VLOOKUP(AH34,$O$11:$S$13,1+AF32,TRUE),IF($U$32=1.5,VLOOKUP(AH34,$O$14:$S$16,1+AF32,TRUE),""))</f>
      </c>
      <c r="AI36" s="219">
        <f>IF($N$30=2,(AF36-AB36)/($AF$33-$AB$33)*$AJ$32+AB36,"")</f>
      </c>
      <c r="AJ36" s="220">
        <f>IF($N$30=2,(AG36-AC36)/($AF$33-$AB$33)*$AJ$32+AC36,"")</f>
      </c>
      <c r="AK36" s="236">
        <f>IF($N$30=2,(AH36-AD36)/($AF$33-$AB$33)*$AJ$32+AD36,"")</f>
      </c>
    </row>
    <row r="37" spans="2:37" ht="15.75">
      <c r="B37" s="268" t="s">
        <v>240</v>
      </c>
      <c r="D37" s="286">
        <f>1/C18</f>
        <v>76.92307692307692</v>
      </c>
      <c r="E37" s="427">
        <f>E15^(1/2)</f>
        <v>0.059160797830996155</v>
      </c>
      <c r="F37" s="427"/>
      <c r="G37" s="352">
        <f>H35^(2/3)</f>
        <v>0.09000000000000001</v>
      </c>
      <c r="H37" s="395">
        <f>D37*E37*G37</f>
        <v>0.40957475421458883</v>
      </c>
      <c r="I37" t="s">
        <v>285</v>
      </c>
      <c r="M37" s="545"/>
      <c r="N37" s="324" t="s">
        <v>228</v>
      </c>
      <c r="O37" s="22">
        <v>300</v>
      </c>
      <c r="P37" s="336">
        <f>IF($N$30=1,AD35,IF($N$30=2,AD36,IF($N$30=3,AD37,AD38)))</f>
        <v>0.92</v>
      </c>
      <c r="Q37" s="336">
        <f>IF($N$30=1,AH35,IF($N$30=2,AH36,IF($N$30=3,AH37,AH38)))</f>
        <v>0.84</v>
      </c>
      <c r="R37" s="333">
        <f>(Q37-P37)/(Q34-P34)*N34+P37</f>
        <v>0.900392</v>
      </c>
      <c r="S37" s="339">
        <f>IF(O37&lt;N35,R37,"")</f>
      </c>
      <c r="T37" s="420"/>
      <c r="U37" s="421"/>
      <c r="V37" s="185">
        <f>IF($N$30=1,AD56,IF($N$30=2,AD57,IF($N$30=3,AD58,AD59)))</f>
        <v>0.88</v>
      </c>
      <c r="W37" s="328">
        <f>IF(O37&lt;N35,V37,"")</f>
      </c>
      <c r="X37" s="283"/>
      <c r="AA37" s="233">
        <v>3</v>
      </c>
      <c r="AB37" s="216">
        <f>IF(AND($N$30=3,$U$32=10),VLOOKUP(AB34,$O$17:$S$19,1+AB32,TRUE),IF($U$32=1.5,VLOOKUP(AB34,$O$20:$S$22,1+AB32,TRUE),""))</f>
      </c>
      <c r="AC37" s="217">
        <f>IF(AND($N$30=3,$U$32=10),VLOOKUP(AC34,$O$17:$S$19,1+AB32,TRUE),IF($U$32=1.5,VLOOKUP(AC34,$O$20:$S$22,1+AB32,TRUE),""))</f>
      </c>
      <c r="AD37" s="218">
        <f>IF(AND($N$30=3,$U$32=10),VLOOKUP(AD34,$O$17:$S$19,1+AB32,TRUE),IF($U$32=1.5,VLOOKUP(AD34,$O$20:$S$22,1+AB32,TRUE),""))</f>
      </c>
      <c r="AE37" s="226">
        <v>3</v>
      </c>
      <c r="AF37" s="216">
        <f>IF(AND($N$30=3,$U$32=10),VLOOKUP(AF34,$O$17:$S$19,1+AF32,TRUE),IF($U$32=1.5,VLOOKUP(AF34,$O$20:$S$22,1+AF32,TRUE),""))</f>
      </c>
      <c r="AG37" s="217">
        <f>IF(AND($N$30=3,$U$32=10),VLOOKUP(AG34,$O$17:$S$19,1+AF32,TRUE),IF($U$32=1.5,VLOOKUP(AG34,$O$20:$S$22,1+AF32,TRUE),""))</f>
      </c>
      <c r="AH37" s="218">
        <f>IF(AND($N$30=3,$U$32=10),VLOOKUP(AH34,$O$17:$S$19,1+AF32,TRUE),IF($U$32=1.5,VLOOKUP(AH34,$O$20:$S$22,1+AF32,TRUE),""))</f>
      </c>
      <c r="AI37" s="227">
        <f>IF($N$30=3,(AF37-AB37)/($AF$33-$AB$33)*$AJ$32+AB37,"")</f>
      </c>
      <c r="AJ37" s="228">
        <f>IF($N$30=3,(AG37-AC37)/($AF$33-$AB$33)*$AJ$32+AC37,"")</f>
      </c>
      <c r="AK37" s="237">
        <f>IF($N$30=3,(AH37-AD37)/($AF$33-$AB$33)*$AJ$32+AD37,"")</f>
      </c>
    </row>
    <row r="38" spans="2:37" ht="14.25">
      <c r="B38" s="276" t="s">
        <v>40</v>
      </c>
      <c r="C38" s="2" t="s">
        <v>239</v>
      </c>
      <c r="D38" s="2" t="s">
        <v>212</v>
      </c>
      <c r="E38" s="206" t="s">
        <v>48</v>
      </c>
      <c r="F38" s="292"/>
      <c r="G38" s="365" t="s">
        <v>211</v>
      </c>
      <c r="H38" s="429" t="s">
        <v>252</v>
      </c>
      <c r="I38" s="429"/>
      <c r="J38" s="64"/>
      <c r="X38" s="283"/>
      <c r="AA38" s="233">
        <v>4</v>
      </c>
      <c r="AB38" s="221">
        <f>IF(AND($N$30=4,$U$32=10),VLOOKUP(AB39,$O$23:$S$25,1+AB32,TRUE),IF($U$32=1.5,VLOOKUP(AB39,$O$26:$S$28,1+AB32,TRUE),""))</f>
      </c>
      <c r="AC38" s="222">
        <f>IF(AND($N$30=4,$U$32=10),VLOOKUP(AC39,$O$23:$S$25,1+AB32,TRUE),IF($U$32=1.5,VLOOKUP(AC39,$O$26:$S$28,1+AB32,TRUE),""))</f>
      </c>
      <c r="AD38" s="223">
        <f>IF(AND($N$30=4,$U$32=10),VLOOKUP(AD39,$O$23:$S$25,1+AB32,TRUE),IF($U$32=1.5,VLOOKUP(AD39,$O$26:$S$28,1+AB32,TRUE),""))</f>
      </c>
      <c r="AE38" s="226">
        <v>4</v>
      </c>
      <c r="AF38" s="221">
        <f>IF(AND($N$30=4,$U$32=10),VLOOKUP(AF39,$O$23:$S$25,1+AF32,TRUE),IF($U$32=1.5,VLOOKUP(AF39,$O$26:$S$28,1+AF32,TRUE),""))</f>
      </c>
      <c r="AG38" s="222">
        <f>IF(AND($N$30=4,$U$32=10),VLOOKUP(AG39,$O$23:$S$25,1+AF32,TRUE),IF($U$32=1.5,VLOOKUP(AG39,$O$26:$S$28,1+AF32,TRUE),""))</f>
      </c>
      <c r="AH38" s="223">
        <f>IF(AND($N$30=4,$U$32=10),VLOOKUP(AH39,$O$23:$S$25,1+AF32,TRUE),IF($U$32=1.5,VLOOKUP(AH39,$O$26:$S$28,1+AF32,TRUE),""))</f>
      </c>
      <c r="AI38" s="219">
        <f>IF($N$30=4,(AF38-AB38)/($AF$33-$AB$33)*$AJ$32+AB38,"")</f>
      </c>
      <c r="AJ38" s="220">
        <f>IF($N$30=4,(AG38-AC38)/($AF$33-$AB$33)*$AJ$32+AC38,"")</f>
      </c>
      <c r="AK38" s="236">
        <f>IF($N$30=4,(AH38-AD38)/($AF$33-$AB$33)*$AJ$32+AD38,"")</f>
      </c>
    </row>
    <row r="39" spans="2:37" ht="15.75" customHeight="1">
      <c r="B39" s="10">
        <f>E35</f>
        <v>0.076</v>
      </c>
      <c r="C39" s="364">
        <f>H37</f>
        <v>0.40957475421458883</v>
      </c>
      <c r="D39" s="397">
        <f>B39*C39</f>
        <v>0.03112768132030875</v>
      </c>
      <c r="E39" s="289">
        <f>C16/100</f>
        <v>0.8</v>
      </c>
      <c r="F39" s="13" t="s">
        <v>19</v>
      </c>
      <c r="G39" s="396">
        <f>D37*E37*G37*B39*E39</f>
        <v>0.024902145056247</v>
      </c>
      <c r="H39" s="275" t="s">
        <v>250</v>
      </c>
      <c r="I39" s="398">
        <f>ROUND(G39*10^2,4)</f>
        <v>2.4902</v>
      </c>
      <c r="J39" s="367" t="s">
        <v>204</v>
      </c>
      <c r="O39" s="117" t="s">
        <v>231</v>
      </c>
      <c r="P39" s="118">
        <f>IF(Q39=1.5,10,1.5)</f>
        <v>1.5</v>
      </c>
      <c r="Q39" s="118">
        <f>U32</f>
        <v>10</v>
      </c>
      <c r="R39" s="117"/>
      <c r="S39" s="329" t="s">
        <v>236</v>
      </c>
      <c r="U39" s="457" t="s">
        <v>235</v>
      </c>
      <c r="V39" s="457"/>
      <c r="W39" s="323" t="s">
        <v>234</v>
      </c>
      <c r="X39" s="283"/>
      <c r="AA39" s="238"/>
      <c r="AB39" s="239">
        <v>200</v>
      </c>
      <c r="AC39" s="239">
        <v>400</v>
      </c>
      <c r="AD39" s="239">
        <v>600</v>
      </c>
      <c r="AE39" s="240"/>
      <c r="AF39" s="239">
        <v>200</v>
      </c>
      <c r="AG39" s="239">
        <v>400</v>
      </c>
      <c r="AH39" s="239">
        <v>600</v>
      </c>
      <c r="AI39" s="240"/>
      <c r="AJ39" s="240"/>
      <c r="AK39" s="241"/>
    </row>
    <row r="40" spans="13:37" ht="13.5">
      <c r="M40" s="422" t="s">
        <v>148</v>
      </c>
      <c r="N40" s="414">
        <f>N32</f>
        <v>0.35</v>
      </c>
      <c r="O40" s="114">
        <v>0.1</v>
      </c>
      <c r="P40" s="113">
        <f>IF(P39=1.5,IF($N$30=1,AB44,IF($N$30=2,AB45,IF($N$30=3,AB46,AB47))))</f>
        <v>0.9</v>
      </c>
      <c r="Q40" s="113">
        <f>IF(Q39=10,IF($N$30=1,AB49,IF($N$30=2,AB50,IF($N$30=3,AB51,AB52))))</f>
        <v>1</v>
      </c>
      <c r="R40" s="539">
        <f>X31</f>
        <v>2</v>
      </c>
      <c r="S40" s="349">
        <f>IF(O40&gt;N40,P40,IF(O41&gt;N40,(P41-P40)/(1-0.1)*(N40-O40)+P40,""))</f>
        <v>0.9277777777777778</v>
      </c>
      <c r="T40" s="512">
        <f>(Q40-P40)/(10-1.5)*(R40-1.5)</f>
        <v>0.00588235294117647</v>
      </c>
      <c r="U40" s="513"/>
      <c r="V40" s="514"/>
      <c r="W40" s="326">
        <f>IF(S40="","",S40+T40)</f>
        <v>0.9336601307189543</v>
      </c>
      <c r="X40" s="283"/>
      <c r="AA40" s="230"/>
      <c r="AJ40" s="226"/>
      <c r="AK40" s="249"/>
    </row>
    <row r="41" spans="2:37" ht="13.5">
      <c r="B41" s="3" t="s">
        <v>246</v>
      </c>
      <c r="M41" s="423"/>
      <c r="N41" s="415"/>
      <c r="O41" s="115">
        <v>1</v>
      </c>
      <c r="P41" s="72">
        <f>IF(P39=1.5,IF($N$30=1,AC44,IF($N$30=2,AC45,IF($N$30=3,AC46,AC47))))</f>
        <v>1</v>
      </c>
      <c r="Q41" s="72">
        <f>IF(Q39=10,IF($N$30=1,AC49,IF($N$30=2,AC50,IF($N$30=3,AC51,AC52))))</f>
        <v>1</v>
      </c>
      <c r="R41" s="540"/>
      <c r="S41" s="350">
        <f>IF(AND(O41&lt;=N40,O42&gt;N40),(P42-P41)/(10-1)*(N40-O41)+P41,"")</f>
      </c>
      <c r="T41" s="515">
        <f>(Q41-P41)/(10-1.5)*(R40-1.5)</f>
        <v>0</v>
      </c>
      <c r="U41" s="516"/>
      <c r="V41" s="517"/>
      <c r="W41" s="327">
        <f>IF(S41="","",S41+U41)</f>
      </c>
      <c r="X41" s="283"/>
      <c r="AA41" s="242" t="s">
        <v>194</v>
      </c>
      <c r="AF41" t="s">
        <v>273</v>
      </c>
      <c r="AJ41" s="226"/>
      <c r="AK41" s="233"/>
    </row>
    <row r="42" spans="2:37" ht="13.5">
      <c r="B42" s="547" t="s">
        <v>210</v>
      </c>
      <c r="C42" s="547"/>
      <c r="D42" s="547"/>
      <c r="E42" s="278">
        <f>J21</f>
        <v>0.055</v>
      </c>
      <c r="G42" s="277">
        <f>D19</f>
        <v>0.42</v>
      </c>
      <c r="H42" t="s">
        <v>209</v>
      </c>
      <c r="I42" s="405" t="s">
        <v>284</v>
      </c>
      <c r="M42" s="424"/>
      <c r="N42" s="325" t="s">
        <v>5</v>
      </c>
      <c r="O42" s="116">
        <v>10</v>
      </c>
      <c r="P42" s="73">
        <f>IF(P39=1.5,IF($N$30=1,AD44,IF($N$30=2,AD45,IF($N$30=3,AD46,AD47))))</f>
        <v>1.1</v>
      </c>
      <c r="Q42" s="73">
        <f>IF(Q39=10,IF($N$30=1,AD49,IF($N$30=2,AD50,IF($N$30=3,AD51,AD52))))</f>
        <v>1</v>
      </c>
      <c r="R42" s="330" t="s">
        <v>182</v>
      </c>
      <c r="S42" s="351">
        <f>IF(O42&lt;=N40,P42,"")</f>
      </c>
      <c r="T42" s="520">
        <f>(Q42-P42)/(10-1.5)*(R40-1.5)</f>
        <v>-0.005882352941176476</v>
      </c>
      <c r="U42" s="521"/>
      <c r="V42" s="522"/>
      <c r="W42" s="328">
        <f>IF(S42="","",S42+U42)</f>
      </c>
      <c r="AA42" s="233"/>
      <c r="AC42" t="s">
        <v>5</v>
      </c>
      <c r="AF42" s="129"/>
      <c r="AG42" s="130">
        <v>1</v>
      </c>
      <c r="AH42" s="130">
        <v>2</v>
      </c>
      <c r="AI42" s="130">
        <v>3</v>
      </c>
      <c r="AJ42" s="226"/>
      <c r="AK42" s="233"/>
    </row>
    <row r="43" spans="2:37" ht="15.75">
      <c r="B43" s="2" t="s">
        <v>42</v>
      </c>
      <c r="C43" t="s">
        <v>251</v>
      </c>
      <c r="D43" s="147"/>
      <c r="E43" s="147"/>
      <c r="G43" s="147" t="s">
        <v>214</v>
      </c>
      <c r="I43" s="279">
        <f>ROUND(E42+G42*E15,3)</f>
        <v>0.056</v>
      </c>
      <c r="AA43" s="233"/>
      <c r="AB43" s="130">
        <v>0.1</v>
      </c>
      <c r="AC43" s="130">
        <v>1</v>
      </c>
      <c r="AD43" s="130">
        <v>10</v>
      </c>
      <c r="AF43" s="129"/>
      <c r="AG43" s="136"/>
      <c r="AH43" s="381">
        <v>1.5</v>
      </c>
      <c r="AI43" s="387">
        <v>10</v>
      </c>
      <c r="AJ43" s="226"/>
      <c r="AK43" s="233"/>
    </row>
    <row r="44" spans="2:37" ht="13.5">
      <c r="B44" s="8" t="s">
        <v>213</v>
      </c>
      <c r="C44" s="406">
        <f>I44</f>
        <v>0.365</v>
      </c>
      <c r="D44" s="176">
        <f>H18</f>
        <v>0.055</v>
      </c>
      <c r="E44" s="437">
        <f>C44/D44</f>
        <v>6.636363636363636</v>
      </c>
      <c r="F44" s="437"/>
      <c r="G44" s="147"/>
      <c r="H44" s="320" t="s">
        <v>142</v>
      </c>
      <c r="I44" s="321">
        <f>C19</f>
        <v>0.365</v>
      </c>
      <c r="J44" s="6" t="s">
        <v>4</v>
      </c>
      <c r="M44" t="s">
        <v>118</v>
      </c>
      <c r="T44" s="128" t="s">
        <v>185</v>
      </c>
      <c r="AA44" s="243">
        <v>1</v>
      </c>
      <c r="AB44" s="137">
        <f>IF($N$30=1,VLOOKUP(AB43,AG44:AI46,2,TRUE),"")</f>
        <v>0.9</v>
      </c>
      <c r="AC44" s="133">
        <f>IF($N$30=1,VLOOKUP(AC43,AG44:AI46,2,TRUE),"")</f>
        <v>1</v>
      </c>
      <c r="AD44" s="134">
        <f>IF($N$30=1,VLOOKUP(AD43,AG44:AI46,2,TRUE),"")</f>
        <v>1.1</v>
      </c>
      <c r="AE44" s="135" t="s">
        <v>7</v>
      </c>
      <c r="AF44" s="138"/>
      <c r="AG44" s="139">
        <v>0.1</v>
      </c>
      <c r="AH44" s="382">
        <v>0.9</v>
      </c>
      <c r="AI44" s="212">
        <v>1</v>
      </c>
      <c r="AJ44" s="226"/>
      <c r="AK44" s="233"/>
    </row>
    <row r="45" spans="2:37" ht="13.5">
      <c r="B45" s="1" t="s">
        <v>132</v>
      </c>
      <c r="C45" s="1" t="s">
        <v>38</v>
      </c>
      <c r="D45" s="177"/>
      <c r="E45" s="553" t="s">
        <v>39</v>
      </c>
      <c r="F45" s="553"/>
      <c r="M45" s="34" t="s">
        <v>124</v>
      </c>
      <c r="N45" s="432" t="s">
        <v>120</v>
      </c>
      <c r="O45" s="449" t="s">
        <v>43</v>
      </c>
      <c r="P45" s="425" t="s">
        <v>139</v>
      </c>
      <c r="Q45" s="505" t="s">
        <v>140</v>
      </c>
      <c r="R45" s="507" t="s">
        <v>120</v>
      </c>
      <c r="S45" s="518" t="s">
        <v>121</v>
      </c>
      <c r="T45" s="128" t="s">
        <v>186</v>
      </c>
      <c r="AA45" s="243">
        <v>2</v>
      </c>
      <c r="AB45" s="137">
        <f>IF($N$30=2,VLOOKUP(AB43,AG47:AI49,2,TRUE),"")</f>
      </c>
      <c r="AC45" s="133">
        <f>IF($N$30=2,VLOOKUP(AC43,AG47:AI49,2,TRUE),"")</f>
      </c>
      <c r="AD45" s="134">
        <f>IF($N$30=2,VLOOKUP(AD43,AG47:AI49,2,TRUE),"")</f>
      </c>
      <c r="AE45" s="135">
        <v>1.5</v>
      </c>
      <c r="AF45" s="138">
        <v>1</v>
      </c>
      <c r="AG45" s="140">
        <v>1</v>
      </c>
      <c r="AH45" s="383">
        <v>1</v>
      </c>
      <c r="AI45" s="211">
        <v>1</v>
      </c>
      <c r="AJ45" s="226"/>
      <c r="AK45" s="233"/>
    </row>
    <row r="46" spans="2:37" ht="13.5">
      <c r="B46" s="8" t="s">
        <v>41</v>
      </c>
      <c r="C46" s="322">
        <f>0.055</f>
        <v>0.055</v>
      </c>
      <c r="D46" s="179">
        <f>E44</f>
        <v>6.636363636363636</v>
      </c>
      <c r="E46" s="546">
        <f>0.218</f>
        <v>0.218</v>
      </c>
      <c r="F46" s="546"/>
      <c r="G46" s="180">
        <f>C46*D46+E46</f>
        <v>0.583</v>
      </c>
      <c r="I46" s="178"/>
      <c r="M46" s="35" t="s">
        <v>125</v>
      </c>
      <c r="N46" s="433"/>
      <c r="O46" s="451"/>
      <c r="P46" s="426"/>
      <c r="Q46" s="506"/>
      <c r="R46" s="508"/>
      <c r="S46" s="519"/>
      <c r="T46" s="128" t="s">
        <v>187</v>
      </c>
      <c r="AA46" s="243">
        <v>3</v>
      </c>
      <c r="AB46" s="132">
        <f>IF($N$30=3,VLOOKUP(AB43,AG50:AI52,2,TRUE),"")</f>
      </c>
      <c r="AC46" s="133">
        <f>IF($N$30=3,VLOOKUP(AC43,AG50:AI52,2,TRUE),"")</f>
      </c>
      <c r="AD46" s="134">
        <f>IF($N$30=3,VLOOKUP(AD43,AG50:AI52,2,TRUE),"")</f>
      </c>
      <c r="AF46" s="138"/>
      <c r="AG46" s="141">
        <v>10</v>
      </c>
      <c r="AH46" s="384">
        <v>1.1</v>
      </c>
      <c r="AI46" s="210">
        <v>1</v>
      </c>
      <c r="AJ46" s="226"/>
      <c r="AK46" s="233"/>
    </row>
    <row r="47" spans="3:37" ht="15.75">
      <c r="C47" s="288" t="s">
        <v>218</v>
      </c>
      <c r="E47" s="46"/>
      <c r="F47" s="46"/>
      <c r="H47" s="64"/>
      <c r="I47" s="64"/>
      <c r="M47" s="532">
        <v>0.1</v>
      </c>
      <c r="N47" s="37" t="s">
        <v>137</v>
      </c>
      <c r="O47" s="53">
        <v>0.616</v>
      </c>
      <c r="P47" s="54">
        <v>0.636</v>
      </c>
      <c r="Q47" s="55">
        <v>0.223</v>
      </c>
      <c r="R47" s="51" t="s">
        <v>122</v>
      </c>
      <c r="S47" s="55">
        <v>1.569</v>
      </c>
      <c r="T47" s="128" t="s">
        <v>270</v>
      </c>
      <c r="AA47" s="243">
        <v>4</v>
      </c>
      <c r="AB47" s="137">
        <f>IF($N$30=4,VLOOKUP(AB43,AG53:AH55,3,TRUE),"")</f>
      </c>
      <c r="AC47" s="142">
        <f>IF($N$30=4,VLOOKUP(AC43,AG53:AH55,3,TRUE),"")</f>
      </c>
      <c r="AD47" s="143">
        <f>IF($N$30=4,VLOOKUP(AD43,AG53:AH55,3,TRUE),"")</f>
      </c>
      <c r="AF47" s="138"/>
      <c r="AG47" s="144">
        <v>0.1</v>
      </c>
      <c r="AH47" s="385">
        <v>0.95</v>
      </c>
      <c r="AI47" s="209">
        <v>1.2</v>
      </c>
      <c r="AJ47" s="226"/>
      <c r="AK47" s="233"/>
    </row>
    <row r="48" spans="2:37" ht="15.75">
      <c r="B48" s="8" t="s">
        <v>47</v>
      </c>
      <c r="C48" s="15">
        <v>0.0104</v>
      </c>
      <c r="D48" s="181">
        <f>G46</f>
        <v>0.583</v>
      </c>
      <c r="E48" s="436">
        <f>E42</f>
        <v>0.055</v>
      </c>
      <c r="F48" s="436"/>
      <c r="G48" s="182">
        <f>I43</f>
        <v>0.056</v>
      </c>
      <c r="H48" s="183" t="s">
        <v>247</v>
      </c>
      <c r="I48" s="399">
        <f>ROUND(C48*D48*(E48+G48)^(3/2),6)</f>
        <v>0.000224</v>
      </c>
      <c r="J48" s="369" t="s">
        <v>216</v>
      </c>
      <c r="M48" s="533"/>
      <c r="N48" s="38" t="s">
        <v>138</v>
      </c>
      <c r="O48" s="43">
        <v>1.323</v>
      </c>
      <c r="P48" s="44">
        <v>1.357</v>
      </c>
      <c r="Q48" s="56">
        <v>0.93</v>
      </c>
      <c r="R48" s="52" t="s">
        <v>123</v>
      </c>
      <c r="S48" s="56">
        <v>0.373</v>
      </c>
      <c r="T48" s="128" t="s">
        <v>190</v>
      </c>
      <c r="AA48" s="233"/>
      <c r="AF48" s="138">
        <v>2</v>
      </c>
      <c r="AG48" s="140">
        <v>1</v>
      </c>
      <c r="AH48" s="383">
        <v>1</v>
      </c>
      <c r="AI48" s="211">
        <v>1</v>
      </c>
      <c r="AJ48" s="226"/>
      <c r="AK48" s="233"/>
    </row>
    <row r="49" spans="13:37" ht="13.5">
      <c r="M49" s="532">
        <v>0.06</v>
      </c>
      <c r="N49" s="37" t="s">
        <v>137</v>
      </c>
      <c r="O49" s="53">
        <f aca="true" t="shared" si="0" ref="O49:Q50">O51+(O47-O51)/(10-1.5)*(6-1.5)</f>
        <v>1.2734117647058825</v>
      </c>
      <c r="P49" s="79">
        <f t="shared" si="0"/>
        <v>1.1964705882352942</v>
      </c>
      <c r="Q49" s="80">
        <f t="shared" si="0"/>
        <v>0.22958823529411765</v>
      </c>
      <c r="R49" s="81" t="s">
        <v>122</v>
      </c>
      <c r="S49" s="80">
        <f>(S47-S51)/(10-1.5)*(6-1.5)+S51</f>
        <v>1.2631176470588235</v>
      </c>
      <c r="W49" s="2" t="s">
        <v>271</v>
      </c>
      <c r="AA49" s="243">
        <v>1</v>
      </c>
      <c r="AB49" s="137">
        <f>IF($N$30=1,VLOOKUP(AB43,AG44:AI46,3,TRUE),"")</f>
        <v>1</v>
      </c>
      <c r="AC49" s="133">
        <f>IF($N$30=1,VLOOKUP(AC43,AG44:AI46,3,TRUE),"")</f>
        <v>1</v>
      </c>
      <c r="AD49" s="134">
        <f>IF($N$30=1,VLOOKUP(AD43,AG44:AI46,3,TRUE),"")</f>
        <v>1</v>
      </c>
      <c r="AE49" t="s">
        <v>7</v>
      </c>
      <c r="AF49" s="138"/>
      <c r="AG49" s="145">
        <v>10</v>
      </c>
      <c r="AH49" s="386">
        <v>1.05</v>
      </c>
      <c r="AI49" s="208">
        <v>0.6</v>
      </c>
      <c r="AJ49" s="226"/>
      <c r="AK49" s="233"/>
    </row>
    <row r="50" spans="2:37" ht="13.5">
      <c r="B50" s="87" t="s">
        <v>198</v>
      </c>
      <c r="G50" s="64" t="s">
        <v>249</v>
      </c>
      <c r="M50" s="533"/>
      <c r="N50" s="38" t="s">
        <v>138</v>
      </c>
      <c r="O50" s="43">
        <f t="shared" si="0"/>
        <v>1.6147647058823529</v>
      </c>
      <c r="P50" s="82">
        <f t="shared" si="0"/>
        <v>1.4402941176470587</v>
      </c>
      <c r="Q50" s="83">
        <f t="shared" si="0"/>
        <v>0.9949411764705883</v>
      </c>
      <c r="R50" s="84" t="s">
        <v>123</v>
      </c>
      <c r="S50" s="83">
        <f>(S48-S52)/(10-1.5)*(6-1.5)+S52</f>
        <v>0.36358823529411766</v>
      </c>
      <c r="U50" s="409" t="s">
        <v>266</v>
      </c>
      <c r="V50" s="409"/>
      <c r="W50" s="379" t="s">
        <v>257</v>
      </c>
      <c r="X50" s="18" t="s">
        <v>256</v>
      </c>
      <c r="Z50" s="2"/>
      <c r="AA50" s="243">
        <v>2</v>
      </c>
      <c r="AB50" s="137">
        <f>IF($N$30=2,VLOOKUP(AB43,AG47:AI49,3,TRUE),"")</f>
      </c>
      <c r="AC50" s="133">
        <f>IF($N$30=2,VLOOKUP(AC43,AG47:AI49,3,TRUE),"")</f>
      </c>
      <c r="AD50" s="134">
        <f>IF($N$30=2,VLOOKUP(AD43,AG47:AI49,3,TRUE),"")</f>
      </c>
      <c r="AE50" s="135">
        <v>10</v>
      </c>
      <c r="AF50" s="380"/>
      <c r="AG50" s="139">
        <v>0.1</v>
      </c>
      <c r="AH50" s="382">
        <v>0.92</v>
      </c>
      <c r="AI50" s="212">
        <v>1.04</v>
      </c>
      <c r="AJ50" s="226"/>
      <c r="AK50" s="233"/>
    </row>
    <row r="51" spans="2:37" ht="13.5">
      <c r="B51" s="445" t="s">
        <v>45</v>
      </c>
      <c r="C51" s="5" t="s">
        <v>46</v>
      </c>
      <c r="D51" s="445" t="s">
        <v>248</v>
      </c>
      <c r="E51" s="440">
        <f>G39</f>
        <v>0.024902145056247</v>
      </c>
      <c r="F51" s="440"/>
      <c r="G51" s="428" t="s">
        <v>245</v>
      </c>
      <c r="H51" s="430" t="s">
        <v>281</v>
      </c>
      <c r="I51" s="537">
        <f>(E51/E52)/10^3</f>
        <v>0.1111702904296741</v>
      </c>
      <c r="J51" s="411" t="s">
        <v>4</v>
      </c>
      <c r="M51" s="438">
        <v>0.015</v>
      </c>
      <c r="N51" s="19" t="s">
        <v>137</v>
      </c>
      <c r="O51" s="57">
        <v>2.013</v>
      </c>
      <c r="P51" s="58">
        <v>1.827</v>
      </c>
      <c r="Q51" s="59">
        <v>0.237</v>
      </c>
      <c r="R51" s="20" t="s">
        <v>122</v>
      </c>
      <c r="S51" s="59">
        <v>0.919</v>
      </c>
      <c r="U51" s="407" t="s">
        <v>255</v>
      </c>
      <c r="V51" s="407"/>
      <c r="W51" s="379">
        <v>0.47</v>
      </c>
      <c r="X51" s="378">
        <v>0.54</v>
      </c>
      <c r="AA51" s="243">
        <v>3</v>
      </c>
      <c r="AB51" s="132">
        <f>IF($N$30=3,VLOOKUP(AB43,AG50:AI52,3,TRUE),"")</f>
      </c>
      <c r="AC51" s="133">
        <f>IF($N$30=3,VLOOKUP(AC43,AG50:AI52,3,TRUE),"")</f>
      </c>
      <c r="AD51" s="134">
        <f>IF($N$30=3,VLOOKUP(AD43,AG50:AI52,3,TRUE),"")</f>
      </c>
      <c r="AF51" s="380">
        <v>3</v>
      </c>
      <c r="AG51" s="140">
        <v>1</v>
      </c>
      <c r="AH51" s="383">
        <v>1</v>
      </c>
      <c r="AI51" s="211">
        <v>1</v>
      </c>
      <c r="AJ51" s="226"/>
      <c r="AK51" s="233"/>
    </row>
    <row r="52" spans="2:37" ht="13.5">
      <c r="B52" s="445"/>
      <c r="C52" s="2" t="s">
        <v>219</v>
      </c>
      <c r="D52" s="445"/>
      <c r="E52" s="441">
        <f>I48</f>
        <v>0.000224</v>
      </c>
      <c r="F52" s="441"/>
      <c r="G52" s="428"/>
      <c r="H52" s="431"/>
      <c r="I52" s="538"/>
      <c r="J52" s="411"/>
      <c r="M52" s="439"/>
      <c r="N52" s="38" t="s">
        <v>138</v>
      </c>
      <c r="O52" s="43">
        <v>1.943</v>
      </c>
      <c r="P52" s="44">
        <v>1.534</v>
      </c>
      <c r="Q52" s="56">
        <v>1.068</v>
      </c>
      <c r="R52" s="52" t="s">
        <v>123</v>
      </c>
      <c r="S52" s="56">
        <v>0.353</v>
      </c>
      <c r="U52" s="407" t="s">
        <v>258</v>
      </c>
      <c r="V52" s="407"/>
      <c r="W52" s="379">
        <v>0.512</v>
      </c>
      <c r="X52" s="378">
        <v>0.8</v>
      </c>
      <c r="AA52" s="243">
        <v>4</v>
      </c>
      <c r="AB52" s="137">
        <f>IF($N$30=4,VLOOKUP(AB43,AG53:AI55,3,TRUE),"")</f>
      </c>
      <c r="AC52" s="142">
        <f>IF($N$30=4,VLOOKUP(AC43,AG53:AI55,3,TRUE),"")</f>
      </c>
      <c r="AD52" s="143">
        <f>IF($N$30=4,VLOOKUP(AD43,AG53:AI55,3,TRUE),"")</f>
      </c>
      <c r="AE52" s="229"/>
      <c r="AF52" s="380"/>
      <c r="AG52" s="141">
        <v>10</v>
      </c>
      <c r="AH52" s="384">
        <v>1.05</v>
      </c>
      <c r="AI52" s="210">
        <v>0.92</v>
      </c>
      <c r="AJ52" s="226"/>
      <c r="AK52" s="233"/>
    </row>
    <row r="53" spans="6:37" ht="13.5">
      <c r="F53" t="s">
        <v>146</v>
      </c>
      <c r="H53" s="400" t="str">
        <f>IF(I51&gt;I44,"桝L &lt; L 以上なので L 大きく","桝L &gt; L 以下なので OK とする")</f>
        <v>桝L &gt; L 以下なので OK とする</v>
      </c>
      <c r="I53" s="401"/>
      <c r="J53" s="401"/>
      <c r="M53" s="251" t="s">
        <v>126</v>
      </c>
      <c r="N53" s="252" t="s">
        <v>127</v>
      </c>
      <c r="U53" s="407" t="s">
        <v>259</v>
      </c>
      <c r="V53" s="407"/>
      <c r="W53" s="379">
        <v>0.365</v>
      </c>
      <c r="X53" s="378">
        <v>0.42</v>
      </c>
      <c r="AA53" s="242"/>
      <c r="AF53" s="380"/>
      <c r="AG53" s="144">
        <v>0.1</v>
      </c>
      <c r="AH53" s="385">
        <v>0.78</v>
      </c>
      <c r="AI53" s="209">
        <v>1.01</v>
      </c>
      <c r="AJ53" s="226"/>
      <c r="AK53" s="233"/>
    </row>
    <row r="54" spans="13:37" ht="13.5">
      <c r="M54" s="63"/>
      <c r="N54" s="252" t="s">
        <v>145</v>
      </c>
      <c r="U54" s="407" t="s">
        <v>260</v>
      </c>
      <c r="V54" s="407"/>
      <c r="W54" s="379">
        <v>0.512</v>
      </c>
      <c r="X54" s="378">
        <v>0.8</v>
      </c>
      <c r="Z54" s="129"/>
      <c r="AA54" s="230" t="s">
        <v>195</v>
      </c>
      <c r="AB54" s="231"/>
      <c r="AC54" s="231"/>
      <c r="AD54" s="231"/>
      <c r="AE54" s="245"/>
      <c r="AF54" s="380">
        <v>4</v>
      </c>
      <c r="AG54" s="140">
        <v>1</v>
      </c>
      <c r="AH54" s="383">
        <v>1</v>
      </c>
      <c r="AI54" s="211">
        <v>1</v>
      </c>
      <c r="AJ54" s="226"/>
      <c r="AK54" s="233"/>
    </row>
    <row r="55" spans="2:37" ht="13.5">
      <c r="B55" s="87" t="s">
        <v>147</v>
      </c>
      <c r="D55" t="s">
        <v>283</v>
      </c>
      <c r="R55" s="377" t="s">
        <v>154</v>
      </c>
      <c r="U55" s="407" t="s">
        <v>264</v>
      </c>
      <c r="V55" s="407"/>
      <c r="W55" s="379">
        <v>0.365</v>
      </c>
      <c r="X55" s="378">
        <v>0.42</v>
      </c>
      <c r="Z55" s="129"/>
      <c r="AA55" s="233"/>
      <c r="AB55" s="214">
        <v>100</v>
      </c>
      <c r="AC55" s="214">
        <v>200</v>
      </c>
      <c r="AD55" s="214">
        <v>300</v>
      </c>
      <c r="AE55" s="246"/>
      <c r="AF55" s="380"/>
      <c r="AG55" s="141">
        <v>10</v>
      </c>
      <c r="AH55" s="384">
        <v>1.4</v>
      </c>
      <c r="AI55" s="210">
        <v>0.95</v>
      </c>
      <c r="AJ55" s="226"/>
      <c r="AK55" s="233"/>
    </row>
    <row r="56" spans="4:37" ht="14.25" thickBot="1">
      <c r="D56" s="8" t="s">
        <v>169</v>
      </c>
      <c r="E56" s="443">
        <f>IF(H19&lt;100,"100以下",IF(H19&lt;200,S35,IF(H19&lt;300,S36,S37)))</f>
        <v>0.7015487659999999</v>
      </c>
      <c r="F56" s="443"/>
      <c r="G56" s="281">
        <f>ROUND(IF(X32=O40,W40,IF(X32=O41,W41,W42)),2)</f>
        <v>0.93</v>
      </c>
      <c r="H56" s="263">
        <f>E56*G56</f>
        <v>0.65244035238</v>
      </c>
      <c r="M56" s="34" t="s">
        <v>124</v>
      </c>
      <c r="N56" s="432" t="s">
        <v>120</v>
      </c>
      <c r="O56" s="534" t="s">
        <v>5</v>
      </c>
      <c r="P56" s="535"/>
      <c r="Q56" s="535"/>
      <c r="R56" s="535"/>
      <c r="S56" s="425"/>
      <c r="T56" s="536"/>
      <c r="U56" s="407" t="s">
        <v>265</v>
      </c>
      <c r="V56" s="407"/>
      <c r="W56" s="379">
        <v>0.365</v>
      </c>
      <c r="X56" s="378">
        <v>0.42</v>
      </c>
      <c r="Z56" s="129"/>
      <c r="AA56" s="243">
        <v>1</v>
      </c>
      <c r="AB56" s="216">
        <f>IF($U$32=10,X5,X8)</f>
        <v>0.58</v>
      </c>
      <c r="AC56" s="216">
        <f>IF($U$32=10,X6,X9)</f>
        <v>0.75</v>
      </c>
      <c r="AD56" s="224">
        <f>IF($U$32=10,X7,X10)</f>
        <v>0.88</v>
      </c>
      <c r="AE56" s="234"/>
      <c r="AF56" s="244"/>
      <c r="AG56" s="247"/>
      <c r="AH56" s="247"/>
      <c r="AI56" s="247"/>
      <c r="AJ56" s="240"/>
      <c r="AK56" s="233"/>
    </row>
    <row r="57" spans="3:37" ht="13.5">
      <c r="C57" s="6"/>
      <c r="D57" s="89"/>
      <c r="E57" s="444">
        <f>IF(H19&lt;100,"100以下",IF(H19&lt;200,W35,IF(H19&lt;300,W36,W37)))</f>
        <v>0.6706099999999999</v>
      </c>
      <c r="F57" s="444"/>
      <c r="G57" s="281">
        <f>G56</f>
        <v>0.93</v>
      </c>
      <c r="H57" s="282">
        <f>E57*G57</f>
        <v>0.6236672999999999</v>
      </c>
      <c r="I57" s="290" t="s">
        <v>220</v>
      </c>
      <c r="J57" s="291">
        <f>ROUND((H56+H57)/2,2)</f>
        <v>0.64</v>
      </c>
      <c r="M57" s="35" t="s">
        <v>125</v>
      </c>
      <c r="N57" s="433"/>
      <c r="O57" s="39">
        <v>0.01</v>
      </c>
      <c r="P57" s="40">
        <v>0.02</v>
      </c>
      <c r="Q57" s="40">
        <v>0.04</v>
      </c>
      <c r="R57" s="90">
        <v>0.06</v>
      </c>
      <c r="S57" s="523" t="s">
        <v>131</v>
      </c>
      <c r="T57" s="524"/>
      <c r="U57" s="410" t="s">
        <v>263</v>
      </c>
      <c r="V57" s="407"/>
      <c r="W57" s="379">
        <v>0.51</v>
      </c>
      <c r="X57" s="378">
        <v>0.51</v>
      </c>
      <c r="Z57" s="129"/>
      <c r="AA57" s="243">
        <v>2</v>
      </c>
      <c r="AB57" s="216">
        <f>IF($U$32=10,X11,X14)</f>
        <v>0.45</v>
      </c>
      <c r="AC57" s="216">
        <f>IF($U$32=10,X12,X15)</f>
        <v>0.63</v>
      </c>
      <c r="AD57" s="224">
        <f>IF($U$32=10,X13,X16)</f>
        <v>0.7</v>
      </c>
      <c r="AE57" s="234"/>
      <c r="AJ57" s="129"/>
      <c r="AK57" s="129"/>
    </row>
    <row r="58" spans="2:37" ht="13.5" customHeight="1">
      <c r="B58" s="445" t="s">
        <v>221</v>
      </c>
      <c r="C58" s="5" t="s">
        <v>224</v>
      </c>
      <c r="D58" s="448" t="s">
        <v>19</v>
      </c>
      <c r="E58" s="446">
        <f>J57</f>
        <v>0.64</v>
      </c>
      <c r="F58" s="446"/>
      <c r="G58" s="376">
        <f>I39</f>
        <v>2.4902</v>
      </c>
      <c r="H58" s="430" t="s">
        <v>221</v>
      </c>
      <c r="I58" s="434">
        <f>(E58*G58)/E59</f>
        <v>30.299011406844112</v>
      </c>
      <c r="J58" s="442" t="s">
        <v>4</v>
      </c>
      <c r="M58" s="532">
        <v>0.1</v>
      </c>
      <c r="N58" s="37" t="s">
        <v>129</v>
      </c>
      <c r="O58" s="41">
        <v>0.008</v>
      </c>
      <c r="P58" s="42">
        <v>0.007</v>
      </c>
      <c r="Q58" s="42">
        <v>0.005</v>
      </c>
      <c r="R58" s="91">
        <v>0.004</v>
      </c>
      <c r="S58" s="525">
        <v>0.0055</v>
      </c>
      <c r="T58" s="526"/>
      <c r="U58" s="410" t="s">
        <v>261</v>
      </c>
      <c r="V58" s="407"/>
      <c r="W58" s="379">
        <v>0.53</v>
      </c>
      <c r="X58" s="378">
        <v>0.38</v>
      </c>
      <c r="Z58" s="129"/>
      <c r="AA58" s="243">
        <v>3</v>
      </c>
      <c r="AB58" s="216">
        <f>IF($U$32=10,X17,X20)</f>
        <v>0.45</v>
      </c>
      <c r="AC58" s="216">
        <f>IF($U$32=10,X18,X21)</f>
        <v>0.63</v>
      </c>
      <c r="AD58" s="224">
        <f>IF($U$32=10,X19,X22)</f>
        <v>0.7</v>
      </c>
      <c r="AE58" s="246"/>
      <c r="AJ58" s="129"/>
      <c r="AK58" s="129"/>
    </row>
    <row r="59" spans="2:37" ht="15.75" customHeight="1" thickBot="1">
      <c r="B59" s="445"/>
      <c r="C59" s="2" t="s">
        <v>217</v>
      </c>
      <c r="D59" s="448"/>
      <c r="E59" s="447">
        <f>H28</f>
        <v>0.0526</v>
      </c>
      <c r="F59" s="447"/>
      <c r="G59" s="447"/>
      <c r="H59" s="431"/>
      <c r="I59" s="435"/>
      <c r="J59" s="442"/>
      <c r="M59" s="533"/>
      <c r="N59" s="38" t="s">
        <v>130</v>
      </c>
      <c r="O59" s="43">
        <v>0.197</v>
      </c>
      <c r="P59" s="44">
        <v>0.208</v>
      </c>
      <c r="Q59" s="44">
        <v>0.231</v>
      </c>
      <c r="R59" s="92">
        <v>0.21</v>
      </c>
      <c r="S59" s="527">
        <v>0.218</v>
      </c>
      <c r="T59" s="528"/>
      <c r="U59" s="410" t="s">
        <v>262</v>
      </c>
      <c r="V59" s="407"/>
      <c r="W59" s="379">
        <v>0.497</v>
      </c>
      <c r="X59" s="378">
        <v>0.797</v>
      </c>
      <c r="Z59" s="138"/>
      <c r="AA59" s="243">
        <v>4</v>
      </c>
      <c r="AB59" s="221">
        <f>IF($U$32=10,X23,X26)</f>
        <v>0.74</v>
      </c>
      <c r="AC59" s="221">
        <f>IF($U$32=10,X24,X27)</f>
        <v>0.86</v>
      </c>
      <c r="AD59" s="225">
        <f>IF($U$32=10,X25,X28)</f>
        <v>0.88</v>
      </c>
      <c r="AE59" s="246"/>
      <c r="AJ59" s="129"/>
      <c r="AK59" s="129"/>
    </row>
    <row r="60" spans="13:37" ht="13.5">
      <c r="M60" s="438">
        <v>0.015</v>
      </c>
      <c r="N60" s="19" t="s">
        <v>129</v>
      </c>
      <c r="O60" s="33">
        <v>-0.00063</v>
      </c>
      <c r="P60" s="529">
        <v>-0.00246</v>
      </c>
      <c r="Q60" s="529"/>
      <c r="R60" s="529"/>
      <c r="S60" s="529"/>
      <c r="T60" s="530"/>
      <c r="U60" s="407" t="s">
        <v>267</v>
      </c>
      <c r="V60" s="407"/>
      <c r="W60" s="379">
        <v>0.83</v>
      </c>
      <c r="X60" s="378">
        <v>0.51</v>
      </c>
      <c r="Z60" s="129"/>
      <c r="AA60" s="244"/>
      <c r="AB60" s="247"/>
      <c r="AC60" s="247"/>
      <c r="AD60" s="247"/>
      <c r="AE60" s="248"/>
      <c r="AJ60" s="129"/>
      <c r="AK60" s="129"/>
    </row>
    <row r="61" spans="3:24" ht="13.5">
      <c r="C61" s="175" t="s">
        <v>135</v>
      </c>
      <c r="F61" s="61" t="s">
        <v>199</v>
      </c>
      <c r="H61" s="402" t="str">
        <f>IF(30&lt;I58,"30m以上あるので、30m配置でOK","30m以下なので、Ls 以下の配置とする")</f>
        <v>30m以上あるので、30m配置でOK</v>
      </c>
      <c r="I61" s="403"/>
      <c r="J61" s="404"/>
      <c r="M61" s="439"/>
      <c r="N61" s="36" t="s">
        <v>130</v>
      </c>
      <c r="O61" s="28">
        <v>0.173</v>
      </c>
      <c r="P61" s="531">
        <v>0.453</v>
      </c>
      <c r="Q61" s="531"/>
      <c r="R61" s="531"/>
      <c r="S61" s="531"/>
      <c r="T61" s="433"/>
      <c r="U61" s="407" t="s">
        <v>268</v>
      </c>
      <c r="V61" s="407"/>
      <c r="W61" s="379">
        <v>0.46</v>
      </c>
      <c r="X61" s="378">
        <v>0.88</v>
      </c>
    </row>
    <row r="62" spans="21:29" ht="13.5">
      <c r="U62" s="407" t="s">
        <v>269</v>
      </c>
      <c r="V62" s="407"/>
      <c r="W62" s="379">
        <v>0.47</v>
      </c>
      <c r="X62" s="378">
        <v>0.54</v>
      </c>
      <c r="AC62" s="129"/>
    </row>
  </sheetData>
  <sheetProtection password="CCC3" sheet="1" selectLockedCells="1"/>
  <mergeCells count="154">
    <mergeCell ref="E33:F33"/>
    <mergeCell ref="E31:F31"/>
    <mergeCell ref="G3:I3"/>
    <mergeCell ref="G8:J8"/>
    <mergeCell ref="C20:D20"/>
    <mergeCell ref="D3:E4"/>
    <mergeCell ref="F14:G14"/>
    <mergeCell ref="H17:I17"/>
    <mergeCell ref="F16:G16"/>
    <mergeCell ref="U11:U13"/>
    <mergeCell ref="T3:V3"/>
    <mergeCell ref="P2:S2"/>
    <mergeCell ref="U23:U25"/>
    <mergeCell ref="B19:B20"/>
    <mergeCell ref="H18:I18"/>
    <mergeCell ref="T11:T13"/>
    <mergeCell ref="N14:N16"/>
    <mergeCell ref="T14:T16"/>
    <mergeCell ref="F15:G15"/>
    <mergeCell ref="AA11:AB12"/>
    <mergeCell ref="AA13:AB16"/>
    <mergeCell ref="AA23:AB23"/>
    <mergeCell ref="AA29:AB29"/>
    <mergeCell ref="U26:U28"/>
    <mergeCell ref="AA25:AB25"/>
    <mergeCell ref="AA27:AB27"/>
    <mergeCell ref="AA20:AB22"/>
    <mergeCell ref="U17:U19"/>
    <mergeCell ref="AA26:AB26"/>
    <mergeCell ref="V14:V16"/>
    <mergeCell ref="AA17:AB19"/>
    <mergeCell ref="V17:V19"/>
    <mergeCell ref="N23:N25"/>
    <mergeCell ref="M23:M28"/>
    <mergeCell ref="V23:V25"/>
    <mergeCell ref="T20:T22"/>
    <mergeCell ref="AA28:AB28"/>
    <mergeCell ref="T17:T19"/>
    <mergeCell ref="AA24:AB24"/>
    <mergeCell ref="B8:B12"/>
    <mergeCell ref="E21:G21"/>
    <mergeCell ref="E45:F45"/>
    <mergeCell ref="U39:V39"/>
    <mergeCell ref="N26:N28"/>
    <mergeCell ref="T26:T28"/>
    <mergeCell ref="U32:V32"/>
    <mergeCell ref="B31:B32"/>
    <mergeCell ref="U14:U16"/>
    <mergeCell ref="V8:V10"/>
    <mergeCell ref="I51:I52"/>
    <mergeCell ref="R40:R41"/>
    <mergeCell ref="B33:B34"/>
    <mergeCell ref="M47:M48"/>
    <mergeCell ref="M35:M37"/>
    <mergeCell ref="E46:F46"/>
    <mergeCell ref="M49:M50"/>
    <mergeCell ref="B42:D42"/>
    <mergeCell ref="D51:D52"/>
    <mergeCell ref="E34:F34"/>
    <mergeCell ref="M60:M61"/>
    <mergeCell ref="N56:N57"/>
    <mergeCell ref="S57:T57"/>
    <mergeCell ref="S58:T58"/>
    <mergeCell ref="S59:T59"/>
    <mergeCell ref="P60:T60"/>
    <mergeCell ref="P61:T61"/>
    <mergeCell ref="M58:M59"/>
    <mergeCell ref="O56:T56"/>
    <mergeCell ref="Q45:Q46"/>
    <mergeCell ref="R45:R46"/>
    <mergeCell ref="O45:O46"/>
    <mergeCell ref="V20:V22"/>
    <mergeCell ref="T23:T25"/>
    <mergeCell ref="T40:V40"/>
    <mergeCell ref="T41:V41"/>
    <mergeCell ref="S45:S46"/>
    <mergeCell ref="T42:V42"/>
    <mergeCell ref="L5:L10"/>
    <mergeCell ref="L11:L16"/>
    <mergeCell ref="L17:L22"/>
    <mergeCell ref="L23:L28"/>
    <mergeCell ref="N5:N7"/>
    <mergeCell ref="M17:M22"/>
    <mergeCell ref="N17:N19"/>
    <mergeCell ref="N8:N10"/>
    <mergeCell ref="M5:M10"/>
    <mergeCell ref="N20:N22"/>
    <mergeCell ref="AE10:AG10"/>
    <mergeCell ref="AA10:AD10"/>
    <mergeCell ref="T5:T7"/>
    <mergeCell ref="U5:U7"/>
    <mergeCell ref="M11:M16"/>
    <mergeCell ref="N11:N13"/>
    <mergeCell ref="T8:T10"/>
    <mergeCell ref="U8:U10"/>
    <mergeCell ref="V5:V7"/>
    <mergeCell ref="V11:V13"/>
    <mergeCell ref="M2:M4"/>
    <mergeCell ref="P3:P4"/>
    <mergeCell ref="Q3:Q4"/>
    <mergeCell ref="R3:R4"/>
    <mergeCell ref="S3:S4"/>
    <mergeCell ref="W2:X3"/>
    <mergeCell ref="T2:V2"/>
    <mergeCell ref="A14:A16"/>
    <mergeCell ref="A17:A21"/>
    <mergeCell ref="B28:C28"/>
    <mergeCell ref="U31:V31"/>
    <mergeCell ref="V26:V28"/>
    <mergeCell ref="S31:T31"/>
    <mergeCell ref="U20:U22"/>
    <mergeCell ref="E28:F28"/>
    <mergeCell ref="E27:F27"/>
    <mergeCell ref="B27:C27"/>
    <mergeCell ref="E52:F52"/>
    <mergeCell ref="J58:J59"/>
    <mergeCell ref="E56:F56"/>
    <mergeCell ref="E57:F57"/>
    <mergeCell ref="B58:B59"/>
    <mergeCell ref="E58:F58"/>
    <mergeCell ref="E59:G59"/>
    <mergeCell ref="D58:D59"/>
    <mergeCell ref="H58:H59"/>
    <mergeCell ref="B51:B52"/>
    <mergeCell ref="E37:F37"/>
    <mergeCell ref="G51:G52"/>
    <mergeCell ref="H38:I38"/>
    <mergeCell ref="H51:H52"/>
    <mergeCell ref="N45:N46"/>
    <mergeCell ref="I58:I59"/>
    <mergeCell ref="E48:F48"/>
    <mergeCell ref="E44:F44"/>
    <mergeCell ref="M51:M52"/>
    <mergeCell ref="E51:F51"/>
    <mergeCell ref="U59:V59"/>
    <mergeCell ref="U57:V57"/>
    <mergeCell ref="U55:V55"/>
    <mergeCell ref="U62:V62"/>
    <mergeCell ref="J51:J52"/>
    <mergeCell ref="N35:N36"/>
    <mergeCell ref="N40:N41"/>
    <mergeCell ref="T35:U37"/>
    <mergeCell ref="M40:M42"/>
    <mergeCell ref="P45:P46"/>
    <mergeCell ref="U56:V56"/>
    <mergeCell ref="U60:V60"/>
    <mergeCell ref="E30:F30"/>
    <mergeCell ref="U61:V61"/>
    <mergeCell ref="U51:V51"/>
    <mergeCell ref="U52:V52"/>
    <mergeCell ref="U53:V53"/>
    <mergeCell ref="U54:V54"/>
    <mergeCell ref="U50:V50"/>
    <mergeCell ref="U58:V58"/>
  </mergeCells>
  <dataValidations count="3">
    <dataValidation type="list" allowBlank="1" showInputMessage="1" showErrorMessage="1" sqref="C24">
      <formula1>$E$17:$E$18</formula1>
    </dataValidation>
    <dataValidation type="list" allowBlank="1" showInputMessage="1" showErrorMessage="1" sqref="H17:I17">
      <formula1>$J$3:$J$6</formula1>
    </dataValidation>
    <dataValidation type="list" allowBlank="1" showInputMessage="1" showErrorMessage="1" sqref="C14">
      <formula1>$E$8:$E$12</formula1>
    </dataValidation>
  </dataValidation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9" r:id="rId2"/>
  <headerFooter alignWithMargins="0">
    <oddHeader>&amp;R&amp;D</oddHeader>
  </headerFooter>
  <colBreaks count="1" manualBreakCount="1">
    <brk id="1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</dc:creator>
  <cp:keywords/>
  <dc:description/>
  <cp:lastModifiedBy>sg2_user</cp:lastModifiedBy>
  <cp:lastPrinted>2013-05-25T02:11:32Z</cp:lastPrinted>
  <dcterms:created xsi:type="dcterms:W3CDTF">2005-03-03T09:01:24Z</dcterms:created>
  <dcterms:modified xsi:type="dcterms:W3CDTF">2017-09-16T05:36:06Z</dcterms:modified>
  <cp:category/>
  <cp:version/>
  <cp:contentType/>
  <cp:contentStatus/>
</cp:coreProperties>
</file>